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andreasfabis/Documents/NPIVP_references/procedures/"/>
    </mc:Choice>
  </mc:AlternateContent>
  <xr:revisionPtr revIDLastSave="0" documentId="13_ncr:1_{56B201FC-4D88-174E-AE23-86C9AE1A9B42}" xr6:coauthVersionLast="47" xr6:coauthVersionMax="47" xr10:uidLastSave="{00000000-0000-0000-0000-000000000000}"/>
  <bookViews>
    <workbookView xWindow="0" yWindow="500" windowWidth="24520" windowHeight="19040" activeTab="2" xr2:uid="{00000000-000D-0000-FFFF-FFFF00000000}"/>
  </bookViews>
  <sheets>
    <sheet name="Card Configurations" sheetId="1" r:id="rId1"/>
    <sheet name="Listing Summary" sheetId="7" r:id="rId2"/>
    <sheet name="VE Requirements" sheetId="8" r:id="rId3"/>
    <sheet name="References" sheetId="2" state="hidden" r:id="rId4"/>
  </sheets>
  <definedNames>
    <definedName name="_xlnm._FilterDatabase" localSheetId="2" hidden="1">'VE Requirements'!$B$2:$D$49</definedName>
    <definedName name="AES">References!$A$7:$A$9</definedName>
    <definedName name="AlgIDs">References!$A$3:$A$13</definedName>
    <definedName name="CryptoSuite">References!$J$11:$J$12</definedName>
    <definedName name="ECC">References!$A$10:$A$11</definedName>
    <definedName name="Key04DVList">References!$D$3:$D$4</definedName>
    <definedName name="Key9ADVList">References!$E$3:$E$4</definedName>
    <definedName name="Key9BDVList">References!$F$3:$F$8</definedName>
    <definedName name="Key9CDVList">References!$G$3:$G$5</definedName>
    <definedName name="Key9DDVList">References!$H$3:$H$5</definedName>
    <definedName name="Key9EADVList">References!$J$3:$J$4</definedName>
    <definedName name="Key9ESDVList">References!$K$3:$K$7</definedName>
    <definedName name="KeyRKMDVList">References!$I$3:$I$6</definedName>
    <definedName name="MaxRetiredKMK" localSheetId="1">'Listing Summary'!$AE$13</definedName>
    <definedName name="MaxRetiredKMK">'Card Configurations'!$AP$9</definedName>
    <definedName name="MinRetiredKMK" localSheetId="1">'Listing Summary'!$AD$13</definedName>
    <definedName name="MinRetiredKMK">'Card Configurations'!$AO$9</definedName>
    <definedName name="notTested">'Listing Summary'!$Y$9</definedName>
    <definedName name="OpacityCS">References!$A$12:$A$13</definedName>
    <definedName name="PassFail">'VE Requirements'!$F$2:$F$4</definedName>
    <definedName name="PINUP1" localSheetId="1">'Listing Summary'!#REF!</definedName>
    <definedName name="PINUP1">'Card Configurations'!$F$8</definedName>
    <definedName name="PINUP2" localSheetId="1">'Listing Summary'!#REF!</definedName>
    <definedName name="PINUP2">'Card Configurations'!$L$8</definedName>
    <definedName name="PINUP3" localSheetId="1">'Listing Summary'!#REF!</definedName>
    <definedName name="PINUP3">'Card Configurations'!$F$40</definedName>
    <definedName name="PINUP4" localSheetId="1">'Listing Summary'!#REF!</definedName>
    <definedName name="PINUP4">'Card Configurations'!$L$40</definedName>
    <definedName name="_xlnm.Print_Area" localSheetId="0">'Card Configurations'!$B$2:$L$64</definedName>
    <definedName name="_xlnm.Print_Area" localSheetId="1">'Listing Summary'!$B$2:$W$32</definedName>
    <definedName name="_xlnm.Print_Area" localSheetId="2">'VE Requirements'!$B$2:$D$49</definedName>
    <definedName name="PrintedInfo1" localSheetId="1">'Listing Summary'!#REF!</definedName>
    <definedName name="PrintedInfo1">'Card Configurations'!$F$4</definedName>
    <definedName name="ProductName">'Listing Summary'!$D$3</definedName>
    <definedName name="RSA">References!$A$6</definedName>
    <definedName name="TDEA">References!$A$3:$A$4</definedName>
    <definedName name="Tested">'Listing Summary'!$Y$8</definedName>
    <definedName name="VendorName">'Listing Summary'!$H$3</definedName>
    <definedName name="YesNo">References!$A$17:$A$18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 i="1" l="1"/>
  <c r="Y4" i="1"/>
  <c r="D4" i="2"/>
  <c r="D3" i="2"/>
  <c r="AE9" i="1"/>
  <c r="AF9" i="1"/>
  <c r="AE22" i="1"/>
  <c r="AC21" i="1"/>
  <c r="AC7" i="1"/>
  <c r="AC5" i="1"/>
  <c r="AH9" i="1"/>
  <c r="AC17" i="1"/>
  <c r="K43" i="1"/>
  <c r="K11" i="1"/>
  <c r="E43" i="1"/>
  <c r="E11" i="1"/>
  <c r="W31" i="1"/>
  <c r="S31" i="1"/>
  <c r="AE11" i="1"/>
  <c r="AF11" i="1"/>
  <c r="AG11" i="1"/>
  <c r="AH11" i="1"/>
  <c r="AE12" i="1"/>
  <c r="AF12" i="1"/>
  <c r="AG12" i="1"/>
  <c r="AH12" i="1"/>
  <c r="AE13" i="1"/>
  <c r="AF13" i="1"/>
  <c r="AG13" i="1"/>
  <c r="AH13" i="1"/>
  <c r="AE14" i="1"/>
  <c r="AF14" i="1"/>
  <c r="AG14" i="1"/>
  <c r="AH14" i="1"/>
  <c r="AE15" i="1"/>
  <c r="AF15" i="1"/>
  <c r="AG15" i="1"/>
  <c r="AK15" i="1" s="1"/>
  <c r="AH15" i="1"/>
  <c r="AE16" i="1"/>
  <c r="AF16" i="1"/>
  <c r="AG16" i="1"/>
  <c r="AH16" i="1"/>
  <c r="AI16" i="1" s="1"/>
  <c r="AE17" i="1"/>
  <c r="AF17" i="1"/>
  <c r="AG17" i="1"/>
  <c r="AL17" i="1" s="1"/>
  <c r="AH17" i="1"/>
  <c r="AK17" i="1" s="1"/>
  <c r="AE19" i="1"/>
  <c r="AF19" i="1"/>
  <c r="AG19" i="1"/>
  <c r="AH19" i="1"/>
  <c r="AE20" i="1"/>
  <c r="AF20" i="1"/>
  <c r="AG20" i="1"/>
  <c r="AL20" i="1" s="1"/>
  <c r="AH20" i="1"/>
  <c r="AI20" i="1" s="1"/>
  <c r="AE21" i="1"/>
  <c r="AF21" i="1"/>
  <c r="AG21" i="1"/>
  <c r="AH21" i="1"/>
  <c r="AF22" i="1"/>
  <c r="AG22" i="1"/>
  <c r="AH22" i="1"/>
  <c r="AE23" i="1"/>
  <c r="AF23" i="1"/>
  <c r="AG23" i="1"/>
  <c r="AH23" i="1"/>
  <c r="AE24" i="1"/>
  <c r="AF24" i="1"/>
  <c r="AG24" i="1"/>
  <c r="AH24" i="1"/>
  <c r="AL24" i="1" s="1"/>
  <c r="AE25" i="1"/>
  <c r="AJ25" i="1" s="1"/>
  <c r="AF25" i="1"/>
  <c r="AG25" i="1"/>
  <c r="AH25" i="1"/>
  <c r="X8" i="1"/>
  <c r="X7" i="1"/>
  <c r="W5" i="1"/>
  <c r="S5" i="1"/>
  <c r="W8" i="1"/>
  <c r="W7" i="1"/>
  <c r="S8" i="1"/>
  <c r="S7" i="1"/>
  <c r="V32" i="1"/>
  <c r="U32" i="1"/>
  <c r="T32" i="1"/>
  <c r="Q32" i="1"/>
  <c r="P32" i="1"/>
  <c r="V6" i="1"/>
  <c r="U6" i="1"/>
  <c r="T6" i="1"/>
  <c r="Q6" i="1"/>
  <c r="P6" i="1"/>
  <c r="X29" i="1"/>
  <c r="X28" i="1"/>
  <c r="X27" i="1"/>
  <c r="X26" i="1"/>
  <c r="X25" i="1"/>
  <c r="X24" i="1"/>
  <c r="X23" i="1"/>
  <c r="X22" i="1"/>
  <c r="X21" i="1"/>
  <c r="X20" i="1"/>
  <c r="X19" i="1"/>
  <c r="X18" i="1"/>
  <c r="X17" i="1"/>
  <c r="X16" i="1"/>
  <c r="X15" i="1"/>
  <c r="X14" i="1"/>
  <c r="X13" i="1"/>
  <c r="X12" i="1"/>
  <c r="X11" i="1"/>
  <c r="X10" i="1"/>
  <c r="W29" i="1"/>
  <c r="W28" i="1"/>
  <c r="W27" i="1"/>
  <c r="W26" i="1"/>
  <c r="W25" i="1"/>
  <c r="W24" i="1"/>
  <c r="W23" i="1"/>
  <c r="W22" i="1"/>
  <c r="W21" i="1"/>
  <c r="W20" i="1"/>
  <c r="W19" i="1"/>
  <c r="W18" i="1"/>
  <c r="W17" i="1"/>
  <c r="W16" i="1"/>
  <c r="W15" i="1"/>
  <c r="W14" i="1"/>
  <c r="W13" i="1"/>
  <c r="W12" i="1"/>
  <c r="W11" i="1"/>
  <c r="W10" i="1"/>
  <c r="S29" i="1"/>
  <c r="S28" i="1"/>
  <c r="S27" i="1"/>
  <c r="S26" i="1"/>
  <c r="S25" i="1"/>
  <c r="S24" i="1"/>
  <c r="S23" i="1"/>
  <c r="S22" i="1"/>
  <c r="S21" i="1"/>
  <c r="S20" i="1"/>
  <c r="S19" i="1"/>
  <c r="S18" i="1"/>
  <c r="S17" i="1"/>
  <c r="S16" i="1"/>
  <c r="S15" i="1"/>
  <c r="S14" i="1"/>
  <c r="S13" i="1"/>
  <c r="S12" i="1"/>
  <c r="S11" i="1"/>
  <c r="S10" i="1"/>
  <c r="R29" i="1"/>
  <c r="R28" i="1"/>
  <c r="R27" i="1"/>
  <c r="R26" i="1"/>
  <c r="R25" i="1"/>
  <c r="R24" i="1"/>
  <c r="R23" i="1"/>
  <c r="R22" i="1"/>
  <c r="R21" i="1"/>
  <c r="R20" i="1"/>
  <c r="R19" i="1"/>
  <c r="R18" i="1"/>
  <c r="R17" i="1"/>
  <c r="R16" i="1"/>
  <c r="R15" i="1"/>
  <c r="R14" i="1"/>
  <c r="R13" i="1"/>
  <c r="R12" i="1"/>
  <c r="R11" i="1"/>
  <c r="R10" i="1"/>
  <c r="P4" i="1"/>
  <c r="AH18" i="1"/>
  <c r="AG18" i="1"/>
  <c r="AL18" i="1" s="1"/>
  <c r="AF18" i="1"/>
  <c r="AE18" i="1"/>
  <c r="AC4" i="1"/>
  <c r="E44" i="1"/>
  <c r="AB26" i="1"/>
  <c r="K45" i="1"/>
  <c r="K46" i="1" s="1"/>
  <c r="E41" i="1"/>
  <c r="E12" i="1"/>
  <c r="K12" i="1"/>
  <c r="K9" i="1"/>
  <c r="K44" i="1"/>
  <c r="K10" i="1"/>
  <c r="E45" i="1"/>
  <c r="E46" i="1" s="1"/>
  <c r="K41" i="1"/>
  <c r="E9" i="1"/>
  <c r="E10" i="1"/>
  <c r="K42" i="1"/>
  <c r="K13" i="1"/>
  <c r="K14" i="1" s="1"/>
  <c r="E42" i="1"/>
  <c r="E13" i="1"/>
  <c r="E14" i="1" s="1"/>
  <c r="AL21" i="1"/>
  <c r="AK19" i="1"/>
  <c r="AK21" i="1"/>
  <c r="AL19" i="1"/>
  <c r="AO19" i="1" s="1"/>
  <c r="AK24" i="1"/>
  <c r="AK16" i="1"/>
  <c r="AI19" i="1"/>
  <c r="AL16" i="1"/>
  <c r="AI22" i="1"/>
  <c r="AJ21" i="1"/>
  <c r="AJ19" i="1"/>
  <c r="AJ24" i="1"/>
  <c r="AI21" i="1"/>
  <c r="I6" i="2"/>
  <c r="I5" i="2"/>
  <c r="I4" i="2"/>
  <c r="I3" i="2"/>
  <c r="K7" i="2"/>
  <c r="K6" i="2"/>
  <c r="K5" i="2"/>
  <c r="K4" i="2"/>
  <c r="K3" i="2"/>
  <c r="J4" i="2"/>
  <c r="J3" i="2"/>
  <c r="H5" i="2"/>
  <c r="H4" i="2"/>
  <c r="H3" i="2"/>
  <c r="G5" i="2"/>
  <c r="G4" i="2"/>
  <c r="G3" i="2"/>
  <c r="F7" i="2"/>
  <c r="F6" i="2"/>
  <c r="F5" i="2"/>
  <c r="F4" i="2"/>
  <c r="F3" i="2"/>
  <c r="E4" i="2"/>
  <c r="E3" i="2"/>
  <c r="AJ16" i="1" l="1"/>
  <c r="AO16" i="1" s="1"/>
  <c r="AK13" i="1"/>
  <c r="AI14" i="1"/>
  <c r="AO24" i="1"/>
  <c r="AJ15" i="1"/>
  <c r="AI24" i="1"/>
  <c r="AI17" i="1"/>
  <c r="AO17" i="1" s="1"/>
  <c r="AI15" i="1"/>
  <c r="AO15" i="1" s="1"/>
  <c r="AK20" i="1"/>
  <c r="AK25" i="1"/>
  <c r="AL25" i="1"/>
  <c r="AO25" i="1" s="1"/>
  <c r="AL15" i="1"/>
  <c r="AJ18" i="1"/>
  <c r="AJ17" i="1"/>
  <c r="AJ20" i="1"/>
  <c r="AO21" i="1"/>
  <c r="AI23" i="1"/>
  <c r="AI25" i="1"/>
  <c r="AO20" i="1"/>
  <c r="AI18" i="1"/>
  <c r="AJ12" i="1"/>
  <c r="AK12" i="1"/>
  <c r="AL12" i="1"/>
  <c r="AI12" i="1"/>
  <c r="AK11" i="1"/>
  <c r="AJ11" i="1"/>
  <c r="AL11" i="1"/>
  <c r="AI11" i="1"/>
  <c r="AI13" i="1"/>
  <c r="AL13" i="1"/>
  <c r="AJ13" i="1"/>
  <c r="AJ14" i="1"/>
  <c r="AL14" i="1"/>
  <c r="AK14" i="1"/>
  <c r="S9" i="1"/>
  <c r="R9" i="1"/>
  <c r="W9" i="1"/>
  <c r="X9" i="1"/>
  <c r="AB10" i="1"/>
  <c r="AB11" i="1"/>
  <c r="AB9" i="1"/>
  <c r="AC11" i="1"/>
  <c r="AB13" i="1"/>
  <c r="AB12" i="1"/>
  <c r="AP23" i="1"/>
  <c r="AO23" i="1"/>
  <c r="AC23" i="1" s="1"/>
  <c r="AO22" i="1"/>
  <c r="AG9" i="1"/>
  <c r="AK9" i="1" s="1"/>
  <c r="AC19" i="1"/>
  <c r="AC18" i="1"/>
  <c r="AP22" i="1"/>
  <c r="AO14" i="1" l="1"/>
  <c r="AO12" i="1"/>
  <c r="AO11" i="1"/>
  <c r="AO13" i="1"/>
  <c r="AC14" i="1"/>
  <c r="AB14" i="1"/>
  <c r="AC22" i="1"/>
  <c r="AI9" i="1"/>
  <c r="AJ9" i="1"/>
  <c r="AP9" i="1"/>
  <c r="AO9" i="1"/>
  <c r="AL9" i="1"/>
</calcChain>
</file>

<file path=xl/sharedStrings.xml><?xml version="1.0" encoding="utf-8"?>
<sst xmlns="http://schemas.openxmlformats.org/spreadsheetml/2006/main" count="410" uniqueCount="194">
  <si>
    <t>Yes</t>
  </si>
  <si>
    <t>CS7</t>
  </si>
  <si>
    <t>CS2</t>
  </si>
  <si>
    <t>No</t>
  </si>
  <si>
    <t>9B</t>
  </si>
  <si>
    <t>9A</t>
  </si>
  <si>
    <t>9C</t>
  </si>
  <si>
    <t>9D</t>
  </si>
  <si>
    <t>9E</t>
  </si>
  <si>
    <t>04</t>
  </si>
  <si>
    <t>Key ID</t>
  </si>
  <si>
    <t>Alg ID</t>
  </si>
  <si>
    <t>9E (asym)</t>
  </si>
  <si>
    <t>9E (sym)</t>
  </si>
  <si>
    <t>00</t>
  </si>
  <si>
    <t>03</t>
  </si>
  <si>
    <t>06</t>
  </si>
  <si>
    <t>0A</t>
  </si>
  <si>
    <t>07</t>
  </si>
  <si>
    <t>08</t>
  </si>
  <si>
    <t>0C</t>
  </si>
  <si>
    <t>11</t>
  </si>
  <si>
    <t>14</t>
  </si>
  <si>
    <t>27</t>
  </si>
  <si>
    <t>2E</t>
  </si>
  <si>
    <t>3 Key Triple DES – ECB</t>
  </si>
  <si>
    <r>
      <t>RSA 1024 bit modulus, 65,537 ≤ exponent ≤ 2</t>
    </r>
    <r>
      <rPr>
        <vertAlign val="superscript"/>
        <sz val="11"/>
        <color theme="1"/>
        <rFont val="Calibri"/>
        <family val="2"/>
        <scheme val="minor"/>
      </rPr>
      <t>256</t>
    </r>
    <r>
      <rPr>
        <sz val="11"/>
        <color theme="1"/>
        <rFont val="Calibri"/>
        <family val="2"/>
        <scheme val="minor"/>
      </rPr>
      <t xml:space="preserve"> - 1</t>
    </r>
  </si>
  <si>
    <r>
      <t>RSA 2048 bit modulus, 65,537 ≤ exponent ≤ 2</t>
    </r>
    <r>
      <rPr>
        <vertAlign val="superscript"/>
        <sz val="11"/>
        <color theme="1"/>
        <rFont val="Calibri"/>
        <family val="2"/>
        <scheme val="minor"/>
      </rPr>
      <t>256</t>
    </r>
    <r>
      <rPr>
        <sz val="11"/>
        <color theme="1"/>
        <rFont val="Calibri"/>
        <family val="2"/>
        <scheme val="minor"/>
      </rPr>
      <t xml:space="preserve"> - 1</t>
    </r>
  </si>
  <si>
    <t>AES-128 – ECB</t>
  </si>
  <si>
    <t>AES-192 – ECB</t>
  </si>
  <si>
    <t>AES-256 – ECB</t>
  </si>
  <si>
    <t>Description</t>
  </si>
  <si>
    <t>ECC: Curve P-256</t>
  </si>
  <si>
    <t>ECC: Curve P-384</t>
  </si>
  <si>
    <t>Cipher Suite 2</t>
  </si>
  <si>
    <t>Cipher Suite 7</t>
  </si>
  <si>
    <t>RKM</t>
  </si>
  <si>
    <t>Valid key - algorithm combinations</t>
  </si>
  <si>
    <t>Retired KMKs</t>
  </si>
  <si>
    <t>82</t>
  </si>
  <si>
    <t>83</t>
  </si>
  <si>
    <t>84</t>
  </si>
  <si>
    <t>85</t>
  </si>
  <si>
    <t>86</t>
  </si>
  <si>
    <t>87</t>
  </si>
  <si>
    <t>88</t>
  </si>
  <si>
    <t>89</t>
  </si>
  <si>
    <t>8A</t>
  </si>
  <si>
    <t>8B</t>
  </si>
  <si>
    <t>8C</t>
  </si>
  <si>
    <t>8D</t>
  </si>
  <si>
    <t>8E</t>
  </si>
  <si>
    <t>8F</t>
  </si>
  <si>
    <t>90</t>
  </si>
  <si>
    <t>91</t>
  </si>
  <si>
    <t>92</t>
  </si>
  <si>
    <t>93</t>
  </si>
  <si>
    <t>94</t>
  </si>
  <si>
    <t>95</t>
  </si>
  <si>
    <t>Symmetric</t>
  </si>
  <si>
    <t>Asymmetric</t>
  </si>
  <si>
    <t>Printed information buffer</t>
  </si>
  <si>
    <t>Discovery Object</t>
  </si>
  <si>
    <t>Key History</t>
  </si>
  <si>
    <t>Cardholder iris images</t>
  </si>
  <si>
    <t>Secure Messaging</t>
  </si>
  <si>
    <t>PIN Usage Policy (tag 0x5F2F)</t>
  </si>
  <si>
    <t>Yes/No</t>
  </si>
  <si>
    <t>Key history keys with oncard certs</t>
  </si>
  <si>
    <t>Key history keys with offcard certs</t>
  </si>
  <si>
    <t>NS</t>
  </si>
  <si>
    <t>Intermediate CVC</t>
  </si>
  <si>
    <t>Crypto Suite</t>
  </si>
  <si>
    <t>CryptoSuite</t>
  </si>
  <si>
    <t>Card Capability Container</t>
  </si>
  <si>
    <t>P</t>
  </si>
  <si>
    <t>Card Holder Unique Identifier</t>
  </si>
  <si>
    <t>X.509 Certificate for PIV Authentication</t>
  </si>
  <si>
    <t>X.509 Certificate for Card Authentication</t>
  </si>
  <si>
    <t>Cardholder Fingerprints</t>
  </si>
  <si>
    <t>Cardholder Facial Image</t>
  </si>
  <si>
    <t>Security Object</t>
  </si>
  <si>
    <t>Printed Information</t>
  </si>
  <si>
    <t>Key History Object</t>
  </si>
  <si>
    <t>Retired X.509 Certificates for Key Management</t>
  </si>
  <si>
    <t xml:space="preserve">Cardholder Iris Images </t>
  </si>
  <si>
    <t xml:space="preserve">Biometric Information Templates Group Template </t>
  </si>
  <si>
    <t xml:space="preserve">Secure Messaging Certificate Signer </t>
  </si>
  <si>
    <t xml:space="preserve">Pairing Code Reference Data Container </t>
  </si>
  <si>
    <t>X.509 Certificate for Digital Signature</t>
  </si>
  <si>
    <t>X.509 Certificate for Key Management</t>
  </si>
  <si>
    <t>Card 1</t>
  </si>
  <si>
    <t>Card 3</t>
  </si>
  <si>
    <t>Card 4</t>
  </si>
  <si>
    <t>Notes:</t>
  </si>
  <si>
    <t>Optional Features</t>
  </si>
  <si>
    <t>Summary of cards 1 - 4</t>
  </si>
  <si>
    <t>00/03</t>
  </si>
  <si>
    <t>Tested Features</t>
  </si>
  <si>
    <t>O</t>
  </si>
  <si>
    <t>Optional containers tested</t>
  </si>
  <si>
    <t>Secure Messaging tested?</t>
  </si>
  <si>
    <t>Crypto Suites tested?</t>
  </si>
  <si>
    <t>Intermediate CVC Tested?</t>
  </si>
  <si>
    <t>Maximum number of retired keys tested</t>
  </si>
  <si>
    <t>Mandatory and conditional data objects tested</t>
  </si>
  <si>
    <t>Offcard key history function tested?</t>
  </si>
  <si>
    <t>Oncard key history function tested?</t>
  </si>
  <si>
    <t>Use of Local PIN tested?</t>
  </si>
  <si>
    <t>Use of Global PIN tested?</t>
  </si>
  <si>
    <t>Local PIN Preferred tested?</t>
  </si>
  <si>
    <t>VCI tested with pairing code?</t>
  </si>
  <si>
    <t>VCI tested without pairing code?</t>
  </si>
  <si>
    <t>Use of OCC tested?</t>
  </si>
  <si>
    <t>Global PIN Preferred tested?</t>
  </si>
  <si>
    <t>Notes</t>
  </si>
  <si>
    <t>Vendor</t>
  </si>
  <si>
    <t>Cert. #</t>
  </si>
  <si>
    <t>Product name</t>
  </si>
  <si>
    <t>Issue date / update date</t>
  </si>
  <si>
    <t>P/F</t>
  </si>
  <si>
    <t>Reference</t>
  </si>
  <si>
    <t>Vendor Documentation Requirements</t>
  </si>
  <si>
    <t>VE01.08.01: The vendor shall specify in its documentation the default selected card application.</t>
  </si>
  <si>
    <t>VE01.16.01:  The vendor shall specify in its documentation that the application security status indicators are set to FALSE when the currently selected application changes from one application to another.</t>
  </si>
  <si>
    <t>VE01.16A-R4.01:  The vendor shall specify in its documentation that the security status indicators associated with the PIV Card Application PIN, the PIN Unblocking Key (PUK), OCC, pairing code, and the PIV Card Application Administration Key are application security status indicators for the PIV Card Application, whereas the security status indicator associated with the Global PIN is a global security status indicator.</t>
  </si>
  <si>
    <t>VE03.09-R4.01:  The vendor shall state in its documentation that the exportation of the biometric reference data is not allowed by the card.</t>
  </si>
  <si>
    <t>VE05.07.01: The vendor shall provide the list of valid AIDs that the card supports and the mechanism(s) implemented to select the PIV Card Application.</t>
  </si>
  <si>
    <t>VE05.41-R4.01: The vendor shall specify in its documentation whether the card implements secure messaging.</t>
  </si>
  <si>
    <t>Pass</t>
  </si>
  <si>
    <t>Fail</t>
  </si>
  <si>
    <t xml:space="preserve"> 3 Key Triple DES - ECB</t>
  </si>
  <si>
    <t xml:space="preserve"> RSA 2048 bit modulus</t>
  </si>
  <si>
    <t xml:space="preserve"> RSA 1024 bit modulus</t>
  </si>
  <si>
    <t xml:space="preserve"> AES-128 - ECB</t>
  </si>
  <si>
    <t xml:space="preserve"> AES-192 - ECB</t>
  </si>
  <si>
    <t xml:space="preserve"> AES-256 - ECB</t>
  </si>
  <si>
    <t xml:space="preserve"> ECC: Curve P-384</t>
  </si>
  <si>
    <t>PIV Secure Messaging key (04)</t>
  </si>
  <si>
    <t>PIV Authentication key (9A)</t>
  </si>
  <si>
    <t>PIV Card Application Administration key (9B)</t>
  </si>
  <si>
    <t>Digital signature key (9C)</t>
  </si>
  <si>
    <t>Key management key (9D)</t>
  </si>
  <si>
    <t>Retired Key management keys (80-95)</t>
  </si>
  <si>
    <t>Card Authentication key (9E)</t>
  </si>
  <si>
    <t xml:space="preserve"> Cipher Suite 2</t>
  </si>
  <si>
    <t xml:space="preserve"> Cipher Suite 7</t>
  </si>
  <si>
    <r>
      <t xml:space="preserve">Key </t>
    </r>
    <r>
      <rPr>
        <b/>
        <sz val="11"/>
        <color theme="1"/>
        <rFont val="Calibri"/>
        <family val="2"/>
      </rPr>
      <t>↓                                                   Algorithm →</t>
    </r>
  </si>
  <si>
    <r>
      <t xml:space="preserve">Algorithm </t>
    </r>
    <r>
      <rPr>
        <b/>
        <sz val="11"/>
        <color theme="1"/>
        <rFont val="Calibri"/>
        <family val="2"/>
      </rPr>
      <t xml:space="preserve"> Description →
Tested combinations of key and algorithm  </t>
    </r>
  </si>
  <si>
    <t>N/A</t>
  </si>
  <si>
    <t>VE02.03.01: The vendor shall state in its documentation the list of all the data objects present on
the card along with the BER-TLV tags associated with them.</t>
  </si>
  <si>
    <t>VE03.01.01: The vendor shall state in its documentation the identifiers associated with all the
algorithms supported by the card.</t>
  </si>
  <si>
    <t>VE05.05.01: The vendor shall specify in its documentation the PIV Card Application Identifier.</t>
  </si>
  <si>
    <t>VE05.06.01: The vendor shall state in its documentation that there is only one PIV Card
Application on the ICC.</t>
  </si>
  <si>
    <t>VE05.09.01: The vendor shall provide information in its documentation stating compliance as
required by AS05.09.
AS05.09: If the currently selected application is the PIV Card Application when the SELECT
command is sent and the AID in the data field of the SELECT command is either the AID of
the PIV Card Application or its right-truncated version thereof, then the PIV Card
Application shall continue to be the currently selected card application and the setting of all
security status indicators in the PIV Card Application shall be unchanged.</t>
  </si>
  <si>
    <t>VE05.10.01: The vendor shall provide information in its documentation validating the compliance
with the statement in AS05.10.
AS05.10: If the currently selected application is the PIV Card Application when the SELECT
command is sent and the AID in the data field of the SELECT command is an invalid AID not
supported by the ICC then the PIV Card Application shall remain the currently selected
application and all PIV Card Application security status indicators shall remain unchanged.</t>
  </si>
  <si>
    <t>VE05.11.01: The vendor shall provide information in its documentation validating the compliance
with the statement in AS05.11.
AS05.11: If the currently selected application is the PIV Card Application when the SELECT
command is given and the AID in the data field of the SELECT command is not the PIV Card
Application (nor the right-truncated version thereof), but a valid AID supported by the ICC,
then the PIV Card Application shall be deselected and all the PIV Card Application security
status indicators in the PIV Card Application shall be set to FALSE.</t>
  </si>
  <si>
    <t>VE05.12A.01: The vendor shall specify in its documentation the access rule for each of the data
objects or make a reference to Table 7 in Appendix A, Part 1 of SP 800-73-4.</t>
  </si>
  <si>
    <t>VE05.13.01: The vendor shall confirm that the PIV Card Application PIN can be used for PIV data
object access and command execution. If the Global PIN (in addition to the PIV Card Application
PIN) is used for data access and command execution while the PIV Card Application is the currently
selected application,  the vendor shall state in its documentation that the card supports the assertion
made in AS05.13.
AS05.13: PIV Card Applications for which both the PIV Card Application PIN and the Global
PIN satisfy the PIV ACRs for PIV data object access and command execution shall implement
the Discovery Object with the PIN Usage Policy set to 0x60 zz, 0x6C zz, 0x70 zz, or 0x7C zz,
where zz is either 0x10 or 0x20, and may optionally implement the Discovery Object with the
PIN Usage Policy set to 0x68 zz or 0x78 zz, where zz is either 0x10 or 0x20.</t>
  </si>
  <si>
    <t xml:space="preserve">VE05.13A-R4.01: If OCC (in addition to the PIV Card Application PIN, and possibly the Global
PIN) is used for data access and command execution while the PIV Card Application is the currently
selected application, the vendor shall state in its documentation that the card supports the assertion
made in AS05.13A-R4.
AS05.13A-R4: PIV Card Applications for which OCC satisfies the PIV ACRs for PIV data
object access and command execution shall implement the Discovery Object with the first byte
of the PIN Usage Policy set to 0x50, 0x58, 0x5C, 0x70, 0x78, or 0x7C. </t>
  </si>
  <si>
    <t>VE05.13B-R4.01: If the PIV Card Application implements the VCI, the vendor shall state in its
documentation that the card supports the assertion made in AS05.13B-R4.
AS05.13B-R4: PIV Card Applications that implement the VCI shall implement the Discovery
Object with the first byte of the PIN Usage Policy set to 0x4C, 0x5C, 0x6C, or 0x7C, and may
optionally also implement the Discovery Object with the first byte of the PIN Usage Policy set
to 0x48, 0x58, 0x68, or 0x78.</t>
  </si>
  <si>
    <t>VE05.14.01: The vendor shall state in its documentation that the card supports the assertion made in AS05.14.
AS05.14: Key reference '80' specific to the PIV Card Application (i.e., local key references) and, optionally, the Global PIN with key reference '00', the OCC data (key references '96' and '97'), and pairing code (key reference '98') are the only key references that may be verified by the PIV Card Application’s VERIFY command. The PIV Card Application may allow other key references to be verified by the PIV Card Application’s VERIFY command, if they are used for card management operations.</t>
  </si>
  <si>
    <t>VE05.16.01: The vendor shall specify in its documentation if the Global PIN is implemented with
the VERIFY command to satisfy access control rules to read PIN protected PIV data objects. If
implemented, the vendor shall also specify the Discovery Object to be present on card with Bit 6 of
the first byte of the PIN Usage Policy value set to one.</t>
  </si>
  <si>
    <t>VE05.17.01: The vendor shall specify in its documentation the reset value of the retry counters
associated with all the key references implemented on the card.</t>
  </si>
  <si>
    <t>VE05.18.01: The vendor shall specify in its documentation the conditions (and associated status
word) when the command will fail.</t>
  </si>
  <si>
    <t>VE05.18A-R4.01: The vendor shall specify in its documentation that if the key reference is '96' or
'97' and the authentication data in the command data field is not of length 3N, where N satisfies the
requirements for minimum and maximum number of minutiae specified in the BIT, then the card
command fails, the PIV Card Application returns the status word '6A 80', and the security status and
the retry counter of the key reference remain unchanged.</t>
  </si>
  <si>
    <t>VE05.19.01: The vendor shall state in its documentation that the card supports the assertion made in
AS05.19.
AS05.19: If the key reference is '00', '80', '96', or '97' and the authentication data in the
command data field is properly formatted and does not match reference data associated with
the key reference, then the card command shall fail, the PIV Card Application shall return the
status word '63 CX', the security status of the key reference shall be set to FALSE, and the
retry counter associated with the key reference shall be decremented by one.</t>
  </si>
  <si>
    <t>VE05.22A.01: The vendor shall state in its documentation that the card supports the assertion made
in AS05.22A.
AS05.22A: If the PIN value in the reference data field of the command field is not padded to 8 bytes, the PIV Card Application shall return the status word '6A 80'.</t>
  </si>
  <si>
    <t>VE05.22B.01:  The vendor shall state in its documentation that the card supports the assertion made in AS05.22B.
AS05.22B: If the key reference is set to a value other than what is supported by the card, the PIV Card Application shall return the status word '6A 88' (key reference not found).</t>
  </si>
  <si>
    <t>VE05.22C-R4.01: The vendor shall state in its documentation that the card supports the assertion
made in AS05.22C-R4.
AS05.22C-R4: The VERIFY command shall reset the security status of the key reference in P2
when the P1 parameter is 'FF' and both Lc and the data field are absent. The security status of
the key reference specified in P2 shall be set to FALSE and the retry counter associated with
the key reference shall remain unchanged.</t>
  </si>
  <si>
    <t>VE05.22D-R4.01: The vendor shall state in its documentation that the card supports the assertions
made in AS05.22D-R4
AS05.22D-R4: If the key reference is '00' or '80' and the authentication data in the command data field does not satisfy the criteria in Section 2.4.3 of Part 2 of SP 800-73-4, then the card command shall fail and the PIV Card Application shall return either the status word '6A 80' or '63 CX'. If status word '6A 80' is returned, the security status and the retry counter of the key reference shall remain unchanged.  If status word '63 CX' is returned, the security status of the key reference shall be set to FALSE and the retry counter associated with the key reference shall be decremented by one.</t>
  </si>
  <si>
    <t>VE05.23.01: The vendor shall state in its documentation that the card supports the assertion made in
AS05.23.
AS05.23: Only reference data associated with key references '80' and '81' specific to the PIV
Card Application (i.e., local key reference) and the Global PIN with key reference '00' may be
changed by the PIV Card Application CHANGE REFERENCE DATA command. Key
reference '80' reference data shall be changed by the PIV Card Application CHANGE
REFERENCE DATA command. The ability to change reference data associated with key
references '81' and '00' using the PIV Card Application CHANGE REFERENCE DATA
command is optional. The PIV Card Application may allow the reference data associated with
other key references to be changed by the PIV Card Application CHANGE REFERENCE
DATA, if PIV Card Application will only perform the command with other key references if
the requirements specified in Section 2.9.2 of FIPS 201-2 are satisfied.</t>
  </si>
  <si>
    <t>VE05.24A-R4.01: The vendor shall state in its documentation that the card supports the assertion
made in AS05.24A-R4.
AS05.24A-R4: If key reference '81' is specified and the command is submitted over the contactless interface (including SM or VCI), then the card command shall fail. If key reference '00' or '80' is specified and the command is not submitted over either the contact interface or the VCI, then the card command shall fail. In each case, the security status and the retry counter of the key reference shall remain unchanged.</t>
  </si>
  <si>
    <t>VE05.25A-R4.01: The vendor shall state in its documentation that the card supports the assertions
made in AS05.25A-R4.
AS05.25A-R4: If the authentication data in the command data field does not match the current value of the reference data or if either the authentication data or the new reference data in the command data field of the command does not satisfy the criteria in Section 2.4.3 of Part 2 of SP 800-73-4, the PIV Card Application shall not change the reference data associated with the key reference and shall return either status word '6A 80' or '63 CX', with the following restrictions:
(a) If the authentication data in the command data field satisfies the criteria in Section 2.4.3 of Part 2 of SP 800-73-4 and matches the current value of the reference data, but the new reference data in the command data field of the command does not satisfy the criteria in Section 2.4.3 of Part 2 of SP 800-73-4 the PIV Card Application shall return status word '6A 80'.
(b) If the authentication data in the command data field does not match the current value of the reference data, but both the authentication data and the new reference data in the command data field of the command satisfy the criteria in Section 2.4.3 of Part 2 of SP 800-73-4, the PIV Card Application shall return status word '63 CX'.
(c) If status word '6A 80' is returned, the security status and retry counter associated with the key reference shall remain unchanged.</t>
  </si>
  <si>
    <t>VE05.25.01: The vendor shall state in its documentation that the card supports the assertion made in
AS05.25.
AS05.25: If the current value of the retry counter associated with the key reference is zero, then the reference data associated with the key reference shall not be changed and the PIV Card Application shall return the status word '69 83' (Reference data change operation blocked). If the command is submitted over the contactless interface (VCI) and the current value of the retry counter associated with the key reference is at or below the issuer-specified intermediate retry value (see Section 3.2.1 of Part 2 of SP 800-73-4), then the reference data associated with the key reference shall not be changed and the PIV Card Application shall
return the status word '69 83'.</t>
  </si>
  <si>
    <t>VE05.26.01: The vendor shall state in its documentation that the card supports the assertion made
in AS05.26.
AS05.26:  If the card command succeeds, then the security status of the key reference shall be set to TRUE and the retry counter associated with the key reference shall be set to the reset retry value associated with the key reference.</t>
  </si>
  <si>
    <t>VE05.27.01: The vendor shall state in its documentation that the card supports the assertion made in
AS05.27.
AS05.27: If status word '63 CX' is returned, the security status of the key reference shall be set to FALSE and the retry counter associated with the key reference shall be decremented by one.</t>
  </si>
  <si>
    <t>VE05.28A.01:  The vendor shall state in its documentation that the card supports the assertion made in AS05.28A.
AS05.28A: If the key reference is set to a value other than what is supported by the card, the
PIV Card Application shall return the status word '6A 88'.</t>
  </si>
  <si>
    <t>VE05.29.01:  The vendor shall state in its documentation that the card supports the assertion made in AS05.29.
AS05.29:  The only key reference allowed in the P2 parameter of the RESET RETRY COUNTER command is the PIV Card Application PIN. The PIV Card Application may allow the reference data associated with other key references to be changed by the PIV Card Application RESET RETRY COUNTER, if PIV Card Application will only perform the command with other key references if the requirements specified in Section 2.9.2 of FIPS 201-2 are satisfied. If a key reference is specified in P2 that is not supported by the card, the PIV Card Application shall return the status word '6A 88'.</t>
  </si>
  <si>
    <t>VE05.30.02: The vendor shall specify in its documentation that the RESET RETRY COUNTER card command will not reset the PIN’s retry counter and the card will return '69 83' (Reset operation blocked) when the PUK’s retry counter is zero.</t>
  </si>
  <si>
    <t>VE05.31.02: The vendor shall specify in its documentation that the card supports the assertion made in AS05.31.
AS05.31: If the card command succeeds, then the PIN’s retry counter shall be set to its reset retry value. Optionally, the PUK’s retry counter may be set to its initial reset retry value. The security status of the PIN’s key reference shall not be changed.</t>
  </si>
  <si>
    <t>VE05.32.01: The vendor shall state in its documentation that card supports the assertion made in AS05.32.
AS05.32: If the PIV Card Application returns status word '63 CX' then the retry counter associated with the PIN shall not be reset, the security status of the PIN’s key reference shall be set to FALSE, and the PUK’s retry counter shall be decremented by one.</t>
  </si>
  <si>
    <t>VE05.33.01: The vendor shall state in its documentation that the card supports the assertion made in AS05.33.
AS05.33:  If the reset retry counter authentication data (PUK) in the command data field of the command does not match reference data associated with the PUK, then the PIV Card Application shall return the status word '63 CX'. If the new reference data (PIN) in the command data field of the command does not satisfy the criteria in Section 2.4.3 of Part 2 of SP 800-73-4, then the PIV Card Application shall return the status word '6A 80'. If the reset retry counter authentication data (PUK) in the command data field of the command does not match reference data associated with the PUK and the new reference data (PIN) in the command data field of the command does not satisfy the criteria in Section 2.4.3 of Part 2 of SP 800-73-4, then the PIV Card Application shall return either status word '6A 80' or '63 CX'. If the PIV Card Application returns status word '6A 80', then the retry counter associated with the PIN shall not be reset, the security status of the PIN’s key reference shall remain unchanged, and the PUK’s retry counter shall remain unchanged.</t>
  </si>
  <si>
    <t>VE05.34.01: The vendor shall specify in its documentation the types of cryptographic operations
(authentication, key establishment primitives, signing primitives, and secure messaging) supported
by the card.</t>
  </si>
  <si>
    <t>VE05.36.01: The vendor shall state in its documentation that the card supports the assertion made in AS05.36.
AS05.36:  If an invalid value of algorithm reference (P1) and/or key reference (P2) is sent to the card, the PIV Card Application shall return the status word '6A 86'.</t>
  </si>
  <si>
    <t>VE05.36A.01: The vendor shall state in its documentation that the card supports the assertion made
in AS05.36A.
AS05.36A: If an invalid value is sent in the data field, the PIV Card Application shall return
the status word '6A 80'.</t>
  </si>
  <si>
    <t>VE05.36B.01: The vendor shall state in its documentation that the card supports the assertion made
in AS05.36B.
AS05.36B: If the command is used to authenticate the card to the client application using a
PIN-protected PIV key without prior PIN or OCC verification the PIV Card Application shall
return the status word '69 82'.</t>
  </si>
  <si>
    <t>VE05.36C.01: The vendor shall specify in its documentation that the card supports the assertion made in AS05.36C.
AS05.36C: If a card command other than the GENERAL AUTHENTICATE command is received by the PIV Card Application before the termination of a GENERAL AUTHENTICATE chain, the PIV Card Application shall rollback to the state it was in immediately prior to the reception of the first command in the interrupted chain.</t>
  </si>
  <si>
    <t>VE05.37.01: The vendor shall specify in its documentation the format, encoding, and the parameters
of the PUT DATA command supported by the card.</t>
  </si>
  <si>
    <t>VE05.38.01: The vendor shall specify in its documentation the cryptographic mechanism
identifiers (specified in Table 5, Part 1 of SP 800-73-4) that have been implemented on the card.</t>
  </si>
  <si>
    <t>VE05.42-R4.01: The vendor shall specify in its documentation that secure messaging is implemented in accordance with AS05.42-R4. 
AS05.42-R4: When implemented, SM for non-card-management operations shall only be established using the PIV Secure Messaging key specified in Table 4b of SP 800-73-4, Part 1, and the SM protocol in accordance with the specifications in SP 800-73-4 Section 4 of Part 2.</t>
  </si>
  <si>
    <t xml:space="preserve">Card 2 </t>
  </si>
  <si>
    <t xml:space="preserve"> ECC: Curve P-256</t>
  </si>
  <si>
    <r>
      <rPr>
        <sz val="11"/>
        <color theme="1"/>
        <rFont val="Wingdings 2"/>
        <family val="1"/>
        <charset val="2"/>
      </rPr>
      <t>P</t>
    </r>
    <r>
      <rPr>
        <sz val="11"/>
        <color theme="1"/>
        <rFont val="Calibri"/>
        <family val="2"/>
        <scheme val="minor"/>
      </rPr>
      <t xml:space="preserve"> indicates the feature has been tested.
</t>
    </r>
    <r>
      <rPr>
        <sz val="11"/>
        <color theme="1"/>
        <rFont val="Wingdings 2"/>
        <family val="1"/>
        <charset val="2"/>
      </rPr>
      <t>O</t>
    </r>
    <r>
      <rPr>
        <sz val="11"/>
        <color theme="1"/>
        <rFont val="Calibri"/>
        <family val="2"/>
        <scheme val="minor"/>
      </rPr>
      <t xml:space="preserve"> indicates the feature is not supported by the product.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</si>
</sst>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i/>
      <sz val="11"/>
      <color rgb="FFC00000"/>
      <name val="Calibri"/>
      <family val="2"/>
      <scheme val="minor"/>
    </font>
    <font>
      <sz val="10"/>
      <color theme="1"/>
      <name val="Arial"/>
      <family val="2"/>
    </font>
    <font>
      <b/>
      <sz val="10"/>
      <color theme="1"/>
      <name val="Arial"/>
      <family val="2"/>
    </font>
    <font>
      <b/>
      <sz val="11"/>
      <color theme="1"/>
      <name val="Calibri"/>
      <family val="2"/>
    </font>
    <font>
      <sz val="11"/>
      <color rgb="FFC00000"/>
      <name val="Calibri"/>
      <family val="2"/>
      <scheme val="minor"/>
    </font>
    <font>
      <sz val="11"/>
      <name val="Calibri"/>
      <family val="2"/>
      <scheme val="minor"/>
    </font>
    <font>
      <sz val="11"/>
      <color theme="1"/>
      <name val="Calibri"/>
      <family val="1"/>
      <charset val="2"/>
      <scheme val="minor"/>
    </font>
  </fonts>
  <fills count="8">
    <fill>
      <patternFill patternType="none"/>
    </fill>
    <fill>
      <patternFill patternType="gray125"/>
    </fill>
    <fill>
      <patternFill patternType="solid">
        <fgColor theme="0" tint="-0.14996795556505021"/>
        <bgColor indexed="64"/>
      </patternFill>
    </fill>
    <fill>
      <patternFill patternType="lightUp"/>
    </fill>
    <fill>
      <patternFill patternType="solid">
        <fgColor indexed="65"/>
        <bgColor indexed="64"/>
      </patternFill>
    </fill>
    <fill>
      <patternFill patternType="solid">
        <fgColor rgb="FFE6E6E6"/>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5">
    <xf numFmtId="0" fontId="0" fillId="0" borderId="0" xfId="0"/>
    <xf numFmtId="0" fontId="0" fillId="0" borderId="0" xfId="0" applyAlignment="1">
      <alignment horizontal="center"/>
    </xf>
    <xf numFmtId="0" fontId="0" fillId="0" borderId="1" xfId="0" applyBorder="1"/>
    <xf numFmtId="0" fontId="0" fillId="0" borderId="1" xfId="0" quotePrefix="1" applyBorder="1" applyAlignment="1">
      <alignment horizontal="center"/>
    </xf>
    <xf numFmtId="0" fontId="0" fillId="0" borderId="1" xfId="0" applyBorder="1" applyAlignment="1">
      <alignment vertical="center" wrapText="1"/>
    </xf>
    <xf numFmtId="0" fontId="0" fillId="2" borderId="1" xfId="0" applyFill="1" applyBorder="1" applyAlignment="1">
      <alignment horizontal="center"/>
    </xf>
    <xf numFmtId="0" fontId="0" fillId="2" borderId="1" xfId="0" quotePrefix="1" applyFill="1" applyBorder="1"/>
    <xf numFmtId="0" fontId="0" fillId="2" borderId="1" xfId="0" applyFill="1" applyBorder="1"/>
    <xf numFmtId="0" fontId="0" fillId="0" borderId="0" xfId="0" applyAlignment="1">
      <alignment vertical="center"/>
    </xf>
    <xf numFmtId="0" fontId="1" fillId="2" borderId="1" xfId="0" applyFont="1" applyFill="1" applyBorder="1" applyAlignment="1">
      <alignment horizontal="center"/>
    </xf>
    <xf numFmtId="0" fontId="0" fillId="0" borderId="1" xfId="0" applyBorder="1" applyAlignment="1" applyProtection="1">
      <alignment horizontal="center"/>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xf>
    <xf numFmtId="0" fontId="0" fillId="2" borderId="7" xfId="0" quotePrefix="1" applyFill="1" applyBorder="1" applyAlignment="1">
      <alignment vertical="center"/>
    </xf>
    <xf numFmtId="0" fontId="0" fillId="0" borderId="8" xfId="0" applyBorder="1" applyAlignment="1" applyProtection="1">
      <alignment horizontal="center"/>
      <protection locked="0"/>
    </xf>
    <xf numFmtId="0" fontId="0" fillId="2" borderId="7" xfId="0" applyFill="1" applyBorder="1" applyAlignment="1">
      <alignment vertical="center"/>
    </xf>
    <xf numFmtId="0" fontId="0" fillId="0" borderId="3" xfId="0" applyBorder="1" applyAlignment="1">
      <alignment horizontal="center"/>
    </xf>
    <xf numFmtId="0" fontId="0" fillId="2" borderId="7" xfId="0" quotePrefix="1" applyFill="1" applyBorder="1" applyAlignment="1">
      <alignment horizontal="left" vertical="center" indent="1"/>
    </xf>
    <xf numFmtId="0" fontId="0" fillId="2" borderId="7" xfId="0" applyFill="1" applyBorder="1" applyAlignment="1">
      <alignment horizontal="left" vertical="center"/>
    </xf>
    <xf numFmtId="0" fontId="0" fillId="2" borderId="7" xfId="0" applyFill="1" applyBorder="1" applyAlignment="1">
      <alignment horizontal="left" vertical="center" indent="1"/>
    </xf>
    <xf numFmtId="0" fontId="0" fillId="2" borderId="9" xfId="0" applyFill="1" applyBorder="1" applyAlignment="1">
      <alignment horizontal="left" vertical="center" indent="1"/>
    </xf>
    <xf numFmtId="0" fontId="0" fillId="0" borderId="10" xfId="0" applyBorder="1" applyAlignment="1" applyProtection="1">
      <alignment horizontal="center"/>
      <protection locked="0"/>
    </xf>
    <xf numFmtId="0" fontId="0" fillId="0" borderId="11" xfId="0" applyBorder="1"/>
    <xf numFmtId="0" fontId="0" fillId="0" borderId="2" xfId="0" applyBorder="1" applyAlignment="1">
      <alignment horizontal="center"/>
    </xf>
    <xf numFmtId="0" fontId="0" fillId="2" borderId="0" xfId="0" applyFill="1"/>
    <xf numFmtId="0" fontId="0" fillId="2" borderId="11" xfId="0" applyFill="1" applyBorder="1"/>
    <xf numFmtId="0" fontId="3" fillId="0" borderId="0" xfId="0" applyFont="1" applyAlignment="1">
      <alignment horizontal="left" indent="1"/>
    </xf>
    <xf numFmtId="0" fontId="0" fillId="0" borderId="12" xfId="0" quotePrefix="1" applyBorder="1" applyAlignment="1">
      <alignment horizontal="left" vertical="center" indent="1"/>
    </xf>
    <xf numFmtId="0" fontId="1" fillId="2" borderId="1" xfId="0" quotePrefix="1" applyFont="1" applyFill="1" applyBorder="1" applyAlignment="1">
      <alignment horizontal="center" vertical="center"/>
    </xf>
    <xf numFmtId="0" fontId="0" fillId="3" borderId="12" xfId="0" quotePrefix="1" applyFill="1" applyBorder="1" applyAlignment="1">
      <alignment vertical="center"/>
    </xf>
    <xf numFmtId="0" fontId="0" fillId="3" borderId="12" xfId="0" applyFill="1" applyBorder="1" applyAlignment="1">
      <alignment vertical="center"/>
    </xf>
    <xf numFmtId="0" fontId="0" fillId="3" borderId="12" xfId="0" quotePrefix="1" applyFill="1" applyBorder="1" applyAlignment="1">
      <alignment horizontal="left" vertical="center" indent="1"/>
    </xf>
    <xf numFmtId="0" fontId="0" fillId="3" borderId="12" xfId="0" applyFill="1" applyBorder="1" applyAlignment="1">
      <alignment horizontal="left" vertical="center"/>
    </xf>
    <xf numFmtId="0" fontId="0" fillId="3" borderId="12" xfId="0" applyFill="1" applyBorder="1" applyAlignment="1">
      <alignment horizontal="left" vertical="center" indent="1"/>
    </xf>
    <xf numFmtId="0" fontId="0" fillId="3" borderId="13" xfId="0" applyFill="1" applyBorder="1" applyAlignment="1">
      <alignment horizontal="left" vertical="center" indent="1"/>
    </xf>
    <xf numFmtId="0" fontId="0" fillId="4" borderId="12" xfId="0" applyFill="1" applyBorder="1" applyAlignment="1">
      <alignment vertical="center"/>
    </xf>
    <xf numFmtId="0" fontId="0" fillId="0" borderId="1" xfId="0" applyBorder="1" applyAlignment="1">
      <alignment horizontal="left" indent="1"/>
    </xf>
    <xf numFmtId="0" fontId="4" fillId="0" borderId="1" xfId="0" applyFont="1" applyBorder="1"/>
    <xf numFmtId="0" fontId="4" fillId="0" borderId="1" xfId="0" applyFont="1" applyBorder="1" applyAlignment="1">
      <alignment horizontal="center"/>
    </xf>
    <xf numFmtId="0" fontId="0" fillId="0" borderId="13" xfId="0" quotePrefix="1" applyBorder="1" applyAlignment="1">
      <alignment horizontal="left" vertical="center" indent="1"/>
    </xf>
    <xf numFmtId="0" fontId="4" fillId="3" borderId="1" xfId="0" quotePrefix="1" applyFont="1" applyFill="1" applyBorder="1" applyAlignment="1">
      <alignment horizontal="center" vertical="center"/>
    </xf>
    <xf numFmtId="0" fontId="4" fillId="3" borderId="1" xfId="0" applyFont="1" applyFill="1" applyBorder="1" applyAlignment="1">
      <alignment horizontal="center" vertical="center"/>
    </xf>
    <xf numFmtId="0" fontId="3" fillId="0" borderId="8" xfId="0" applyFont="1" applyBorder="1" applyAlignment="1" applyProtection="1">
      <alignment horizontal="left" indent="1"/>
      <protection locked="0"/>
    </xf>
    <xf numFmtId="0" fontId="6" fillId="0" borderId="0" xfId="0" applyFont="1" applyAlignment="1">
      <alignment horizontal="left" indent="1"/>
    </xf>
    <xf numFmtId="0" fontId="4" fillId="0" borderId="8" xfId="0" applyFont="1" applyBorder="1" applyAlignment="1">
      <alignment horizontal="center" vertical="center"/>
    </xf>
    <xf numFmtId="0" fontId="1" fillId="2" borderId="7" xfId="0" applyFont="1" applyFill="1" applyBorder="1" applyAlignment="1">
      <alignment horizontal="left" vertical="center" indent="1"/>
    </xf>
    <xf numFmtId="0" fontId="4" fillId="0" borderId="8" xfId="0" applyFont="1" applyBorder="1" applyAlignment="1">
      <alignment horizontal="center" vertical="center" wrapText="1"/>
    </xf>
    <xf numFmtId="0" fontId="3" fillId="0" borderId="1" xfId="0" applyFont="1" applyBorder="1" applyAlignment="1">
      <alignment horizontal="left" indent="1"/>
    </xf>
    <xf numFmtId="0" fontId="5" fillId="2" borderId="30" xfId="0" applyFont="1" applyFill="1" applyBorder="1" applyAlignment="1">
      <alignment horizontal="center"/>
    </xf>
    <xf numFmtId="0" fontId="0" fillId="0" borderId="9" xfId="0" applyBorder="1" applyAlignment="1" applyProtection="1">
      <alignment horizontal="center" vertical="center"/>
      <protection locked="0"/>
    </xf>
    <xf numFmtId="0" fontId="0" fillId="2" borderId="3" xfId="0" applyFill="1" applyBorder="1" applyAlignment="1">
      <alignment horizontal="center"/>
    </xf>
    <xf numFmtId="0" fontId="3" fillId="0" borderId="18" xfId="0" applyFont="1" applyBorder="1" applyAlignment="1">
      <alignment horizontal="left" indent="1"/>
    </xf>
    <xf numFmtId="0" fontId="0" fillId="0" borderId="21" xfId="0" applyBorder="1"/>
    <xf numFmtId="0" fontId="0" fillId="2" borderId="8" xfId="0" applyFill="1" applyBorder="1" applyAlignment="1">
      <alignment horizontal="center"/>
    </xf>
    <xf numFmtId="0" fontId="0" fillId="0" borderId="28" xfId="0" applyBorder="1" applyAlignment="1">
      <alignment horizontal="center"/>
    </xf>
    <xf numFmtId="0" fontId="0" fillId="0" borderId="27" xfId="0" applyBorder="1"/>
    <xf numFmtId="0" fontId="8" fillId="5" borderId="22" xfId="0" applyFont="1" applyFill="1" applyBorder="1" applyAlignment="1">
      <alignment horizontal="center" vertical="center" wrapText="1"/>
    </xf>
    <xf numFmtId="0" fontId="8" fillId="5" borderId="23" xfId="0" applyFont="1" applyFill="1" applyBorder="1" applyAlignment="1">
      <alignment vertical="center" wrapText="1"/>
    </xf>
    <xf numFmtId="0" fontId="8" fillId="5" borderId="24" xfId="0" applyFont="1" applyFill="1" applyBorder="1" applyAlignment="1">
      <alignment vertical="center" wrapText="1"/>
    </xf>
    <xf numFmtId="0" fontId="7" fillId="0" borderId="8" xfId="0" applyFont="1" applyBorder="1" applyAlignment="1">
      <alignment vertical="center" wrapText="1"/>
    </xf>
    <xf numFmtId="0" fontId="1" fillId="2" borderId="12" xfId="0" applyFont="1" applyFill="1" applyBorder="1" applyAlignment="1">
      <alignment horizontal="left" vertical="center" indent="1"/>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1" fillId="2" borderId="1" xfId="0" applyFont="1" applyFill="1" applyBorder="1" applyAlignment="1">
      <alignment horizontal="center" textRotation="90"/>
    </xf>
    <xf numFmtId="0" fontId="1" fillId="2" borderId="1" xfId="0" applyFont="1" applyFill="1" applyBorder="1" applyAlignment="1">
      <alignment horizontal="left" textRotation="90"/>
    </xf>
    <xf numFmtId="0" fontId="0" fillId="0" borderId="1" xfId="0" applyBorder="1" applyAlignment="1">
      <alignment horizontal="center"/>
    </xf>
    <xf numFmtId="0" fontId="0" fillId="0" borderId="8" xfId="0" quotePrefix="1" applyBorder="1" applyAlignment="1" applyProtection="1">
      <alignment horizontal="center"/>
      <protection locked="0"/>
    </xf>
    <xf numFmtId="0" fontId="0" fillId="0" borderId="21" xfId="0" applyBorder="1" applyProtection="1">
      <protection locked="0"/>
    </xf>
    <xf numFmtId="0" fontId="0" fillId="0" borderId="3" xfId="0" applyBorder="1" applyAlignment="1" applyProtection="1">
      <alignment horizontal="center"/>
      <protection locked="0"/>
    </xf>
    <xf numFmtId="0" fontId="0" fillId="0" borderId="27" xfId="0" applyBorder="1" applyProtection="1">
      <protection locked="0"/>
    </xf>
    <xf numFmtId="0" fontId="0" fillId="0" borderId="2" xfId="0" applyBorder="1" applyAlignment="1" applyProtection="1">
      <alignment horizontal="center"/>
      <protection locked="0"/>
    </xf>
    <xf numFmtId="0" fontId="0" fillId="0" borderId="1" xfId="0" quotePrefix="1" applyBorder="1" applyAlignment="1" applyProtection="1">
      <alignment horizontal="center"/>
      <protection locked="0"/>
    </xf>
    <xf numFmtId="0" fontId="10" fillId="0" borderId="21" xfId="0" applyFont="1" applyBorder="1"/>
    <xf numFmtId="0" fontId="11" fillId="0" borderId="21" xfId="0" applyFont="1" applyBorder="1"/>
    <xf numFmtId="0" fontId="0" fillId="0" borderId="3" xfId="0" applyBorder="1" applyAlignment="1">
      <alignment horizontal="center" vertical="center"/>
    </xf>
    <xf numFmtId="0" fontId="7" fillId="0" borderId="1" xfId="0" applyFont="1" applyBorder="1" applyAlignment="1" applyProtection="1">
      <alignment vertical="center" wrapText="1"/>
      <protection locked="0"/>
    </xf>
    <xf numFmtId="0" fontId="7" fillId="0" borderId="7" xfId="0" applyFont="1" applyBorder="1" applyAlignment="1">
      <alignment horizontal="center" vertical="center" wrapText="1"/>
    </xf>
    <xf numFmtId="0" fontId="7" fillId="0" borderId="10" xfId="0" applyFont="1" applyBorder="1" applyAlignment="1" applyProtection="1">
      <alignment vertical="center" wrapText="1"/>
      <protection locked="0"/>
    </xf>
    <xf numFmtId="0" fontId="7" fillId="0" borderId="41" xfId="0" applyFont="1" applyBorder="1" applyAlignment="1">
      <alignment vertical="center" wrapText="1"/>
    </xf>
    <xf numFmtId="0" fontId="0" fillId="0" borderId="15" xfId="0" applyBorder="1" applyAlignment="1">
      <alignment horizontal="left"/>
    </xf>
    <xf numFmtId="0" fontId="0" fillId="0" borderId="12" xfId="0" applyBorder="1" applyAlignment="1">
      <alignment horizontal="left"/>
    </xf>
    <xf numFmtId="0" fontId="4" fillId="0" borderId="15" xfId="0" applyFont="1" applyBorder="1" applyAlignment="1">
      <alignment horizontal="left"/>
    </xf>
    <xf numFmtId="0" fontId="4" fillId="0" borderId="12" xfId="0" applyFont="1" applyBorder="1" applyAlignment="1">
      <alignment horizontal="left"/>
    </xf>
    <xf numFmtId="0" fontId="4" fillId="0" borderId="32" xfId="0" applyFont="1" applyBorder="1" applyAlignment="1">
      <alignment horizontal="left"/>
    </xf>
    <xf numFmtId="0" fontId="4" fillId="0" borderId="13" xfId="0" applyFont="1" applyBorder="1" applyAlignment="1">
      <alignment horizontal="left"/>
    </xf>
    <xf numFmtId="0" fontId="1" fillId="6" borderId="1" xfId="0" applyFont="1" applyFill="1" applyBorder="1" applyAlignment="1">
      <alignment horizontal="center"/>
    </xf>
    <xf numFmtId="0" fontId="0" fillId="7" borderId="12" xfId="0" quotePrefix="1" applyFill="1" applyBorder="1" applyAlignment="1">
      <alignment vertical="center"/>
    </xf>
    <xf numFmtId="0" fontId="0" fillId="6" borderId="1" xfId="0" applyFill="1" applyBorder="1"/>
    <xf numFmtId="0" fontId="7" fillId="0" borderId="9" xfId="0" applyFont="1" applyBorder="1" applyAlignment="1">
      <alignment horizontal="center" vertical="center" wrapText="1"/>
    </xf>
    <xf numFmtId="14" fontId="0" fillId="0" borderId="41" xfId="0" applyNumberFormat="1" applyBorder="1" applyAlignment="1" applyProtection="1">
      <alignment horizontal="left" vertical="center" wrapText="1"/>
      <protection locked="0"/>
    </xf>
    <xf numFmtId="0" fontId="7" fillId="7" borderId="7" xfId="0" applyFont="1" applyFill="1" applyBorder="1" applyAlignment="1">
      <alignment horizontal="center" vertical="center" wrapText="1"/>
    </xf>
    <xf numFmtId="0" fontId="7" fillId="7" borderId="1" xfId="0" applyFont="1" applyFill="1" applyBorder="1" applyAlignment="1" applyProtection="1">
      <alignment vertical="center" wrapText="1"/>
      <protection locked="0"/>
    </xf>
    <xf numFmtId="0" fontId="1" fillId="0" borderId="22" xfId="0" applyFont="1" applyBorder="1" applyAlignment="1">
      <alignment horizontal="center"/>
    </xf>
    <xf numFmtId="0" fontId="1" fillId="0" borderId="24" xfId="0" applyFont="1" applyBorder="1"/>
    <xf numFmtId="0" fontId="0" fillId="0" borderId="0" xfId="0" applyAlignment="1">
      <alignment horizontal="left" vertical="top" wrapText="1"/>
    </xf>
    <xf numFmtId="0" fontId="0" fillId="2" borderId="26" xfId="0" applyFill="1" applyBorder="1" applyAlignment="1">
      <alignment horizontal="left" vertical="center"/>
    </xf>
    <xf numFmtId="0" fontId="0" fillId="2" borderId="12" xfId="0" applyFill="1" applyBorder="1" applyAlignment="1">
      <alignment horizontal="left"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14" xfId="0" applyFont="1" applyBorder="1" applyAlignment="1">
      <alignment horizontal="center"/>
    </xf>
    <xf numFmtId="0" fontId="4" fillId="0" borderId="12" xfId="0" applyFont="1"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0" fillId="2" borderId="26" xfId="0" applyFill="1" applyBorder="1" applyAlignment="1">
      <alignment horizontal="left"/>
    </xf>
    <xf numFmtId="0" fontId="0" fillId="2" borderId="15" xfId="0" applyFill="1" applyBorder="1" applyAlignment="1">
      <alignment horizontal="left"/>
    </xf>
    <xf numFmtId="0" fontId="0" fillId="2" borderId="12" xfId="0" applyFill="1" applyBorder="1" applyAlignment="1">
      <alignment horizontal="left"/>
    </xf>
    <xf numFmtId="0" fontId="1" fillId="2" borderId="26" xfId="0" applyFont="1" applyFill="1" applyBorder="1" applyAlignment="1">
      <alignment horizontal="left"/>
    </xf>
    <xf numFmtId="0" fontId="1" fillId="2" borderId="15" xfId="0" applyFont="1" applyFill="1" applyBorder="1" applyAlignment="1">
      <alignment horizontal="left"/>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xf>
    <xf numFmtId="0" fontId="1" fillId="2" borderId="32" xfId="0" applyFont="1" applyFill="1" applyBorder="1" applyAlignment="1">
      <alignment horizontal="left"/>
    </xf>
    <xf numFmtId="0" fontId="0" fillId="0" borderId="1" xfId="0" applyBorder="1" applyAlignment="1">
      <alignment horizontal="left" vertical="center" wrapText="1"/>
    </xf>
    <xf numFmtId="0" fontId="12" fillId="0" borderId="21" xfId="0" applyFont="1" applyBorder="1" applyAlignment="1" applyProtection="1">
      <alignment horizontal="left" vertical="top" wrapText="1"/>
      <protection locked="0"/>
    </xf>
    <xf numFmtId="0" fontId="0" fillId="0" borderId="0" xfId="0"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25" xfId="0" applyFont="1" applyFill="1" applyBorder="1" applyAlignment="1">
      <alignment horizontal="center"/>
    </xf>
    <xf numFmtId="0" fontId="1" fillId="2" borderId="12" xfId="0" applyFont="1" applyFill="1" applyBorder="1" applyAlignment="1">
      <alignment horizontal="left" vertical="center"/>
    </xf>
    <xf numFmtId="0" fontId="1" fillId="2" borderId="26" xfId="0" quotePrefix="1" applyFont="1" applyFill="1" applyBorder="1" applyAlignment="1">
      <alignment horizontal="left" vertical="center"/>
    </xf>
    <xf numFmtId="0" fontId="1" fillId="2" borderId="12" xfId="0" quotePrefix="1" applyFont="1" applyFill="1" applyBorder="1" applyAlignment="1">
      <alignment horizontal="left" vertical="center"/>
    </xf>
    <xf numFmtId="0" fontId="5" fillId="2" borderId="1" xfId="0" applyFont="1" applyFill="1" applyBorder="1" applyAlignment="1">
      <alignment horizontal="center"/>
    </xf>
    <xf numFmtId="0" fontId="5" fillId="2" borderId="8"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1" fillId="0" borderId="23" xfId="0" applyFont="1" applyBorder="1" applyAlignment="1">
      <alignment horizontal="left"/>
    </xf>
    <xf numFmtId="0" fontId="0" fillId="0" borderId="10" xfId="0" applyBorder="1" applyAlignment="1" applyProtection="1">
      <alignment horizontal="left" vertical="center" wrapText="1"/>
      <protection locked="0"/>
    </xf>
    <xf numFmtId="0" fontId="1" fillId="0" borderId="37" xfId="0" applyFont="1" applyBorder="1" applyAlignment="1">
      <alignment horizontal="left"/>
    </xf>
    <xf numFmtId="0" fontId="1" fillId="0" borderId="35" xfId="0" applyFont="1" applyBorder="1" applyAlignment="1">
      <alignment horizontal="left"/>
    </xf>
    <xf numFmtId="0" fontId="1" fillId="0" borderId="38" xfId="0" applyFont="1" applyBorder="1" applyAlignment="1">
      <alignment horizontal="left"/>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9" xfId="0" applyFont="1" applyFill="1" applyBorder="1" applyAlignment="1">
      <alignment horizontal="center" vertical="center"/>
    </xf>
    <xf numFmtId="0" fontId="0" fillId="2" borderId="26" xfId="0" applyFill="1" applyBorder="1" applyAlignment="1">
      <alignment horizontal="center"/>
    </xf>
    <xf numFmtId="0" fontId="0" fillId="2" borderId="15" xfId="0" applyFill="1" applyBorder="1" applyAlignment="1">
      <alignment horizontal="center"/>
    </xf>
    <xf numFmtId="0" fontId="0" fillId="2" borderId="12" xfId="0" applyFill="1" applyBorder="1" applyAlignment="1">
      <alignment horizontal="center"/>
    </xf>
    <xf numFmtId="0" fontId="4" fillId="0" borderId="31" xfId="0" applyFont="1" applyBorder="1" applyAlignment="1">
      <alignment horizontal="center"/>
    </xf>
    <xf numFmtId="0" fontId="4" fillId="0" borderId="13" xfId="0" applyFont="1" applyBorder="1" applyAlignment="1">
      <alignment horizontal="center"/>
    </xf>
    <xf numFmtId="0" fontId="1" fillId="2" borderId="26" xfId="0" applyFont="1" applyFill="1" applyBorder="1" applyAlignment="1">
      <alignment horizontal="right" vertical="center" wrapText="1"/>
    </xf>
    <xf numFmtId="0" fontId="1" fillId="2" borderId="12" xfId="0" applyFont="1" applyFill="1" applyBorder="1" applyAlignment="1">
      <alignment horizontal="right" vertical="center" wrapText="1"/>
    </xf>
    <xf numFmtId="0" fontId="0" fillId="2" borderId="0" xfId="0" applyFill="1" applyAlignment="1">
      <alignment horizontal="center"/>
    </xf>
    <xf numFmtId="0" fontId="0" fillId="0"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A65"/>
  <sheetViews>
    <sheetView zoomScale="85" zoomScaleNormal="85" workbookViewId="0">
      <selection activeCell="E31" sqref="E31"/>
    </sheetView>
  </sheetViews>
  <sheetFormatPr baseColWidth="10" defaultColWidth="8.83203125" defaultRowHeight="15" x14ac:dyDescent="0.2"/>
  <cols>
    <col min="1" max="1" width="2" customWidth="1"/>
    <col min="2" max="2" width="12.83203125" style="8" bestFit="1" customWidth="1"/>
    <col min="3" max="3" width="6.1640625" style="1" bestFit="1" customWidth="1"/>
    <col min="4" max="4" width="2.33203125" customWidth="1"/>
    <col min="5" max="5" width="34.5" bestFit="1" customWidth="1"/>
    <col min="6" max="6" width="7.5" style="1" bestFit="1" customWidth="1"/>
    <col min="7" max="7" width="1.5" customWidth="1"/>
    <col min="8" max="8" width="12.83203125" bestFit="1" customWidth="1"/>
    <col min="9" max="9" width="6.1640625" bestFit="1" customWidth="1"/>
    <col min="10" max="10" width="2.5" customWidth="1"/>
    <col min="11" max="11" width="34.5" bestFit="1" customWidth="1"/>
    <col min="12" max="12" width="7.5" customWidth="1"/>
    <col min="13" max="13" width="1.6640625" customWidth="1"/>
    <col min="14" max="14" width="1.5" hidden="1" customWidth="1"/>
    <col min="15" max="15" width="12.83203125" hidden="1" customWidth="1"/>
    <col min="16" max="21" width="3.33203125" hidden="1" customWidth="1"/>
    <col min="22" max="22" width="3.1640625" hidden="1" customWidth="1"/>
    <col min="23" max="24" width="3.33203125" hidden="1" customWidth="1"/>
    <col min="25" max="26" width="3" hidden="1" customWidth="1"/>
    <col min="27" max="27" width="2.5" hidden="1" customWidth="1"/>
    <col min="28" max="28" width="31.83203125" hidden="1" customWidth="1"/>
    <col min="29" max="29" width="32.5" hidden="1" customWidth="1"/>
    <col min="30" max="30" width="9.1640625" hidden="1" customWidth="1"/>
    <col min="31" max="33" width="4.1640625" hidden="1" customWidth="1"/>
    <col min="34" max="34" width="3" hidden="1" customWidth="1"/>
    <col min="35" max="35" width="5.83203125" hidden="1" customWidth="1"/>
    <col min="36" max="36" width="4.6640625" hidden="1" customWidth="1"/>
    <col min="37" max="38" width="3" hidden="1" customWidth="1"/>
    <col min="39" max="39" width="3.6640625" hidden="1" customWidth="1"/>
    <col min="40" max="40" width="3.5" hidden="1" customWidth="1"/>
    <col min="41" max="41" width="7.83203125" hidden="1" customWidth="1"/>
    <col min="42" max="42" width="3" hidden="1" customWidth="1"/>
    <col min="43" max="43" width="9.33203125" customWidth="1"/>
    <col min="44" max="44" width="9.1640625" customWidth="1"/>
    <col min="46" max="48" width="9.1640625" customWidth="1"/>
  </cols>
  <sheetData>
    <row r="1" spans="2:53" ht="9.75" customHeight="1" thickBot="1" x14ac:dyDescent="0.25"/>
    <row r="2" spans="2:53" x14ac:dyDescent="0.2">
      <c r="B2" s="97" t="s">
        <v>91</v>
      </c>
      <c r="C2" s="98"/>
      <c r="D2" s="98"/>
      <c r="E2" s="98"/>
      <c r="F2" s="99"/>
      <c r="H2" s="97" t="s">
        <v>191</v>
      </c>
      <c r="I2" s="98"/>
      <c r="J2" s="98"/>
      <c r="K2" s="98"/>
      <c r="L2" s="99"/>
      <c r="O2" s="97" t="s">
        <v>96</v>
      </c>
      <c r="P2" s="98"/>
      <c r="Q2" s="98"/>
      <c r="R2" s="98"/>
      <c r="S2" s="98"/>
      <c r="T2" s="98"/>
      <c r="U2" s="98"/>
      <c r="V2" s="98"/>
      <c r="W2" s="98"/>
      <c r="X2" s="98"/>
      <c r="Y2" s="98"/>
      <c r="Z2" s="98"/>
      <c r="AA2" s="98"/>
      <c r="AB2" s="98"/>
      <c r="AC2" s="99"/>
    </row>
    <row r="3" spans="2:53" x14ac:dyDescent="0.2">
      <c r="B3" s="11" t="s">
        <v>10</v>
      </c>
      <c r="C3" s="9" t="s">
        <v>11</v>
      </c>
      <c r="D3" s="24"/>
      <c r="E3" s="9" t="s">
        <v>95</v>
      </c>
      <c r="F3" s="12" t="s">
        <v>67</v>
      </c>
      <c r="H3" s="11" t="s">
        <v>10</v>
      </c>
      <c r="I3" s="85" t="s">
        <v>11</v>
      </c>
      <c r="J3" s="24"/>
      <c r="K3" s="9" t="s">
        <v>95</v>
      </c>
      <c r="L3" s="12" t="s">
        <v>67</v>
      </c>
      <c r="O3" s="11" t="s">
        <v>10</v>
      </c>
      <c r="P3" s="28" t="s">
        <v>14</v>
      </c>
      <c r="Q3" s="28" t="s">
        <v>15</v>
      </c>
      <c r="R3" s="28" t="s">
        <v>16</v>
      </c>
      <c r="S3" s="28" t="s">
        <v>18</v>
      </c>
      <c r="T3" s="28" t="s">
        <v>19</v>
      </c>
      <c r="U3" s="28" t="s">
        <v>17</v>
      </c>
      <c r="V3" s="28" t="s">
        <v>20</v>
      </c>
      <c r="W3" s="28" t="s">
        <v>21</v>
      </c>
      <c r="X3" s="28" t="s">
        <v>22</v>
      </c>
      <c r="Y3" s="28" t="s">
        <v>23</v>
      </c>
      <c r="Z3" s="28" t="s">
        <v>24</v>
      </c>
      <c r="AA3" s="24"/>
      <c r="AB3" s="9" t="s">
        <v>95</v>
      </c>
      <c r="AC3" s="12" t="s">
        <v>67</v>
      </c>
    </row>
    <row r="4" spans="2:53" x14ac:dyDescent="0.2">
      <c r="B4" s="13" t="s">
        <v>9</v>
      </c>
      <c r="C4" s="71"/>
      <c r="D4" s="24"/>
      <c r="E4" s="2" t="s">
        <v>61</v>
      </c>
      <c r="F4" s="14"/>
      <c r="H4" s="13" t="s">
        <v>9</v>
      </c>
      <c r="I4" s="10"/>
      <c r="J4" s="24"/>
      <c r="K4" s="2" t="s">
        <v>61</v>
      </c>
      <c r="L4" s="14"/>
      <c r="O4" s="13" t="s">
        <v>9</v>
      </c>
      <c r="P4" s="29" t="str">
        <f>IF(COUNTIF(C4,"00")&gt;0,"00","")</f>
        <v/>
      </c>
      <c r="Q4" s="29"/>
      <c r="R4" s="29"/>
      <c r="S4" s="29"/>
      <c r="T4" s="29"/>
      <c r="U4" s="29"/>
      <c r="V4" s="29"/>
      <c r="W4" s="29"/>
      <c r="X4" s="29"/>
      <c r="Y4" s="86">
        <f>IF($C4="27",1,IF($I4="27",1,IF($C36="27",1,IF($I36="27",1,0))))</f>
        <v>0</v>
      </c>
      <c r="Z4" s="86">
        <f>IF($C4="2E",1,IF($I4="2E",1,IF($C36="2E",1,IF($I36="2E",1,0))))</f>
        <v>0</v>
      </c>
      <c r="AA4" s="24"/>
      <c r="AB4" s="2" t="s">
        <v>61</v>
      </c>
      <c r="AC4" s="14" t="str">
        <f>IF(OR(PrintedInfo1="Yes",L4="Yes",F36="Yes",L36="Yes"),"Yes","No")</f>
        <v>Yes</v>
      </c>
      <c r="AS4" s="94"/>
      <c r="AT4" s="94"/>
      <c r="AU4" s="94"/>
      <c r="AV4" s="94"/>
      <c r="AW4" s="94"/>
      <c r="AX4" s="94"/>
      <c r="AY4" s="94"/>
      <c r="AZ4" s="94"/>
      <c r="BA4" s="94"/>
    </row>
    <row r="5" spans="2:53" x14ac:dyDescent="0.2">
      <c r="B5" s="15" t="s">
        <v>5</v>
      </c>
      <c r="C5" s="10"/>
      <c r="D5" s="24"/>
      <c r="E5" s="2" t="s">
        <v>64</v>
      </c>
      <c r="F5" s="14"/>
      <c r="H5" s="15" t="s">
        <v>5</v>
      </c>
      <c r="I5" s="10"/>
      <c r="J5" s="24"/>
      <c r="K5" s="2" t="s">
        <v>64</v>
      </c>
      <c r="L5" s="14"/>
      <c r="O5" s="15" t="s">
        <v>5</v>
      </c>
      <c r="P5" s="30"/>
      <c r="Q5" s="30"/>
      <c r="R5" s="30"/>
      <c r="S5" s="27">
        <f t="shared" ref="S5:S8" si="0">IF($C5="07",1,IF($I5="07",1,IF($C37="07",1,IF($I37="07",1,0))))</f>
        <v>0</v>
      </c>
      <c r="T5" s="30"/>
      <c r="U5" s="30"/>
      <c r="V5" s="30"/>
      <c r="W5" s="27">
        <f t="shared" ref="W5:W8" si="1">IF($C5="11",1,IF($I5="11",1,IF($C37="11",1,IF($I37="11",1,0))))</f>
        <v>0</v>
      </c>
      <c r="X5" s="30"/>
      <c r="Y5" s="30"/>
      <c r="Z5" s="30"/>
      <c r="AA5" s="24"/>
      <c r="AB5" s="2" t="s">
        <v>64</v>
      </c>
      <c r="AC5" s="14" t="str">
        <f>IF(OR(F5="Yes",L5="Yes",F37="Yes",L37="Yes"),"Yes","No")</f>
        <v>No</v>
      </c>
      <c r="AS5" s="94"/>
      <c r="AT5" s="94"/>
      <c r="AU5" s="94"/>
      <c r="AV5" s="94"/>
      <c r="AW5" s="94"/>
      <c r="AX5" s="94"/>
      <c r="AY5" s="94"/>
      <c r="AZ5" s="94"/>
      <c r="BA5" s="94"/>
    </row>
    <row r="6" spans="2:53" x14ac:dyDescent="0.2">
      <c r="B6" s="15" t="s">
        <v>4</v>
      </c>
      <c r="C6" s="154"/>
      <c r="D6" s="24"/>
      <c r="E6" s="7"/>
      <c r="F6" s="53"/>
      <c r="H6" s="15" t="s">
        <v>4</v>
      </c>
      <c r="I6" s="10"/>
      <c r="J6" s="24"/>
      <c r="K6" s="24"/>
      <c r="L6" s="50"/>
      <c r="O6" s="15" t="s">
        <v>4</v>
      </c>
      <c r="P6" s="27">
        <f>IF($C6="00",1,IF($I6="00",1,IF($C38="00",1,IF($I38="00",1,0))))</f>
        <v>0</v>
      </c>
      <c r="Q6" s="27">
        <f>IF($C6="03",1,IF($I6="03",1,IF($C38="03",1,IF($I38="03",1,0))))</f>
        <v>0</v>
      </c>
      <c r="R6" s="30"/>
      <c r="S6" s="30"/>
      <c r="T6" s="27">
        <f>IF($C6="08",1,IF($I6="08",1,IF($C38="08",1,IF($I38="08",1,0))))</f>
        <v>0</v>
      </c>
      <c r="U6" s="27">
        <f>IF($C6="0A",1,IF($I6="0A",1,IF($C38="0A",1,IF($I38="0A",1,0))))</f>
        <v>0</v>
      </c>
      <c r="V6" s="27">
        <f>IF($C6="0C",1,IF($I6="0C",1,IF($C38="0C",1,IF($I38="0C",1,0))))</f>
        <v>0</v>
      </c>
      <c r="W6" s="30"/>
      <c r="X6" s="30"/>
      <c r="Y6" s="30"/>
      <c r="Z6" s="30"/>
      <c r="AA6" s="24"/>
      <c r="AC6" s="16"/>
      <c r="AS6" s="94"/>
      <c r="AT6" s="94"/>
      <c r="AU6" s="94"/>
      <c r="AV6" s="94"/>
      <c r="AW6" s="94"/>
      <c r="AX6" s="94"/>
      <c r="AY6" s="94"/>
      <c r="AZ6" s="94"/>
      <c r="BA6" s="94"/>
    </row>
    <row r="7" spans="2:53" x14ac:dyDescent="0.2">
      <c r="B7" s="15" t="s">
        <v>6</v>
      </c>
      <c r="C7" s="10"/>
      <c r="D7" s="24"/>
      <c r="E7" s="7" t="s">
        <v>62</v>
      </c>
      <c r="F7" s="14"/>
      <c r="H7" s="15" t="s">
        <v>6</v>
      </c>
      <c r="I7" s="10"/>
      <c r="J7" s="24"/>
      <c r="K7" s="7" t="s">
        <v>62</v>
      </c>
      <c r="L7" s="14"/>
      <c r="O7" s="15" t="s">
        <v>6</v>
      </c>
      <c r="P7" s="30"/>
      <c r="Q7" s="30"/>
      <c r="R7" s="30"/>
      <c r="S7" s="27">
        <f t="shared" si="0"/>
        <v>0</v>
      </c>
      <c r="T7" s="30"/>
      <c r="U7" s="30"/>
      <c r="V7" s="30"/>
      <c r="W7" s="27">
        <f t="shared" si="1"/>
        <v>0</v>
      </c>
      <c r="X7" s="27">
        <f>IF($C7="14",1,IF($I7="14",1,IF($C39="14",1,IF($I39="14",1,0))))</f>
        <v>0</v>
      </c>
      <c r="Y7" s="30"/>
      <c r="Z7" s="30"/>
      <c r="AA7" s="24"/>
      <c r="AB7" s="7" t="s">
        <v>62</v>
      </c>
      <c r="AC7" s="14" t="str">
        <f>IF(OR(F7="Yes",L7="Yes",F39="Yes",L39="Yes"),"Yes","No")</f>
        <v>Yes</v>
      </c>
      <c r="AS7" s="94"/>
      <c r="AT7" s="94"/>
      <c r="AU7" s="94"/>
      <c r="AV7" s="94"/>
      <c r="AW7" s="94"/>
      <c r="AX7" s="94"/>
      <c r="AY7" s="94"/>
      <c r="AZ7" s="94"/>
      <c r="BA7" s="94"/>
    </row>
    <row r="8" spans="2:53" x14ac:dyDescent="0.2">
      <c r="B8" s="15" t="s">
        <v>7</v>
      </c>
      <c r="C8" s="10"/>
      <c r="D8" s="24"/>
      <c r="E8" s="7" t="s">
        <v>66</v>
      </c>
      <c r="F8" s="14"/>
      <c r="H8" s="15" t="s">
        <v>7</v>
      </c>
      <c r="I8" s="10"/>
      <c r="J8" s="24"/>
      <c r="K8" s="7" t="s">
        <v>66</v>
      </c>
      <c r="L8" s="14"/>
      <c r="O8" s="15" t="s">
        <v>7</v>
      </c>
      <c r="P8" s="30"/>
      <c r="Q8" s="30"/>
      <c r="R8" s="30"/>
      <c r="S8" s="27">
        <f t="shared" si="0"/>
        <v>0</v>
      </c>
      <c r="T8" s="30"/>
      <c r="U8" s="30"/>
      <c r="V8" s="30"/>
      <c r="W8" s="27">
        <f t="shared" si="1"/>
        <v>0</v>
      </c>
      <c r="X8" s="27">
        <f>IF($C8="14",1,IF($I8="14",1,IF($C40="14",1,IF($I40="14",1,0))))</f>
        <v>0</v>
      </c>
      <c r="Y8" s="30"/>
      <c r="Z8" s="30"/>
      <c r="AA8" s="24"/>
      <c r="AB8" s="7" t="s">
        <v>66</v>
      </c>
      <c r="AC8" s="14">
        <v>7810</v>
      </c>
      <c r="AS8" s="94"/>
      <c r="AT8" s="94"/>
      <c r="AU8" s="94"/>
      <c r="AV8" s="94"/>
      <c r="AW8" s="94"/>
      <c r="AX8" s="94"/>
      <c r="AY8" s="94"/>
      <c r="AZ8" s="94"/>
      <c r="BA8" s="94"/>
    </row>
    <row r="9" spans="2:53" x14ac:dyDescent="0.2">
      <c r="B9" s="15" t="s">
        <v>38</v>
      </c>
      <c r="C9" s="65"/>
      <c r="D9" s="24"/>
      <c r="E9" s="47" t="str">
        <f>IF(_xlfn.BITAND(64,HEX2DEC(LEFT(PINUP1,2))),"Uses Local PIN","Doesn't use Local PIN")</f>
        <v>Doesn't use Local PIN</v>
      </c>
      <c r="F9" s="50"/>
      <c r="H9" s="15" t="s">
        <v>38</v>
      </c>
      <c r="I9" s="10"/>
      <c r="J9" s="24"/>
      <c r="K9" s="47" t="str">
        <f>IF(_xlfn.BITAND(64,HEX2DEC(LEFT(PINUP2,2))),"Uses Local PIN","Doesn't use Local PIN")</f>
        <v>Doesn't use Local PIN</v>
      </c>
      <c r="L9" s="50"/>
      <c r="O9" s="15" t="s">
        <v>38</v>
      </c>
      <c r="P9" s="30"/>
      <c r="Q9" s="30"/>
      <c r="R9" s="35">
        <f>SUM(R10:R29)</f>
        <v>0</v>
      </c>
      <c r="S9" s="35">
        <f>SUM(S10:S29)</f>
        <v>0</v>
      </c>
      <c r="T9" s="30"/>
      <c r="U9" s="30"/>
      <c r="V9" s="30"/>
      <c r="W9" s="35">
        <f>SUM(W10:W29)</f>
        <v>0</v>
      </c>
      <c r="X9" s="35">
        <f>SUM(X10:X29)</f>
        <v>0</v>
      </c>
      <c r="Y9" s="30"/>
      <c r="Z9" s="30"/>
      <c r="AA9" s="24"/>
      <c r="AB9" s="42" t="str">
        <f>IF(OR(E9="Uses Local PIN",K9="Uses Local PIN",E41="Uses Local PIN",K41="Uses Local PIN"),"Tested Local PIN Usage","Did not test Local PIN Usage")</f>
        <v>Did not test Local PIN Usage</v>
      </c>
      <c r="AC9" s="16"/>
      <c r="AE9" t="str">
        <f>IF(ISBLANK(C9),"",C9)</f>
        <v/>
      </c>
      <c r="AF9" t="str">
        <f>IF(ISBLANK(I9),"",I9)</f>
        <v/>
      </c>
      <c r="AG9" t="str">
        <f>IF(ISBLANK(C41),"",C41)</f>
        <v/>
      </c>
      <c r="AH9" t="str">
        <f>IF(ISBLANK(I41),"",I41)</f>
        <v/>
      </c>
      <c r="AI9" t="str">
        <f t="shared" ref="AI9" si="2">IF(COUNTIF($AE9:$AH9,6)&gt;0,"06","")</f>
        <v/>
      </c>
      <c r="AJ9" t="str">
        <f t="shared" ref="AJ9" si="3">IF(COUNTIF($AE9:$AH9,7)&gt;0,"07","")</f>
        <v/>
      </c>
      <c r="AK9" t="str">
        <f t="shared" ref="AK9" si="4">IF(COUNTIF($AE9:$AH9,11)&gt;0,"11","")</f>
        <v/>
      </c>
      <c r="AL9" t="str">
        <f t="shared" ref="AL9" si="5">IF(COUNTIF($AE9:$AH9,14)&gt;0,"14","")</f>
        <v/>
      </c>
      <c r="AO9">
        <f>MIN(AE9:AH9)</f>
        <v>0</v>
      </c>
      <c r="AP9">
        <f>MAX(AE9:AH9)</f>
        <v>0</v>
      </c>
      <c r="AS9" s="94"/>
      <c r="AT9" s="94"/>
      <c r="AU9" s="94"/>
      <c r="AV9" s="94"/>
      <c r="AW9" s="94"/>
      <c r="AX9" s="94"/>
      <c r="AY9" s="94"/>
      <c r="AZ9" s="94"/>
      <c r="BA9" s="94"/>
    </row>
    <row r="10" spans="2:53" x14ac:dyDescent="0.2">
      <c r="B10" s="17" t="s">
        <v>39</v>
      </c>
      <c r="C10" s="10"/>
      <c r="D10" s="24"/>
      <c r="E10" s="47" t="str">
        <f>IF(_xlfn.BITAND(32,HEX2DEC(LEFT(PINUP1,2))),"Uses Global PIN","Does not use Global PIN")</f>
        <v>Does not use Global PIN</v>
      </c>
      <c r="F10" s="50"/>
      <c r="H10" s="17" t="s">
        <v>39</v>
      </c>
      <c r="I10" s="10"/>
      <c r="J10" s="24"/>
      <c r="K10" s="47" t="str">
        <f>IF(_xlfn.BITAND(32,HEX2DEC(LEFT(PINUP2,2))),"Uses Global PIN","Does not use Global PIN")</f>
        <v>Does not use Global PIN</v>
      </c>
      <c r="L10" s="50"/>
      <c r="O10" s="17" t="s">
        <v>39</v>
      </c>
      <c r="P10" s="31"/>
      <c r="Q10" s="31"/>
      <c r="R10" s="27">
        <f>IF($C10="06",1,IF($I10="06",1,IF($C42="06",1,IF($I42="06",1,0))))</f>
        <v>0</v>
      </c>
      <c r="S10" s="27">
        <f>IF($C10="07",1,IF($I10="07",1,IF($C42="07",1,IF($I42="07",1,0))))</f>
        <v>0</v>
      </c>
      <c r="T10" s="31"/>
      <c r="U10" s="31"/>
      <c r="V10" s="31"/>
      <c r="W10" s="27">
        <f>IF($C10="11",1,IF($I10="11",1,IF($C42="11",1,IF($I42="11",1,0))))</f>
        <v>0</v>
      </c>
      <c r="X10" s="27">
        <f>IF($C10="14",1,IF($I10="14",1,IF($C42="14",1,IF($I42="14",1,0))))</f>
        <v>0</v>
      </c>
      <c r="Y10" s="31"/>
      <c r="Z10" s="31"/>
      <c r="AA10" s="24"/>
      <c r="AB10" s="42" t="str">
        <f>IF(OR(E10="Uses Global PIN",K10="Uses Global PIN",E42="Uses Gloal PIN",K42="Uses Global PIN"),"Tested Global PIN Usage","Did not test Global PIN Usage")</f>
        <v>Did not test Global PIN Usage</v>
      </c>
      <c r="AC10" s="16"/>
    </row>
    <row r="11" spans="2:53" x14ac:dyDescent="0.2">
      <c r="B11" s="17" t="s">
        <v>40</v>
      </c>
      <c r="C11" s="10"/>
      <c r="D11" s="24"/>
      <c r="E11" s="47" t="str">
        <f>IF(RIGHT(PINUP1,2)="10","Local PIN Preferred",IF(RIGHT(PINUP1,2)="20","Global PIN Preferred",IF(RIGHT(PINUP1,2)="00","Local PIN only","Invalid PIN Usage Policy byte 2")))</f>
        <v>Invalid PIN Usage Policy byte 2</v>
      </c>
      <c r="F11" s="50"/>
      <c r="H11" s="17" t="s">
        <v>40</v>
      </c>
      <c r="I11" s="10"/>
      <c r="J11" s="24"/>
      <c r="K11" s="47" t="str">
        <f>IF(RIGHT(PINUP2,2)="10","Local PIN Preferred",IF(RIGHT(PINUP2,2)="20","Global PIN Preferred",IF(RIGHT(PINUP2,2)="00","Local PIN only","Invalid PIN Usage Policy byte 2")))</f>
        <v>Invalid PIN Usage Policy byte 2</v>
      </c>
      <c r="L11" s="50"/>
      <c r="O11" s="17" t="s">
        <v>40</v>
      </c>
      <c r="P11" s="31"/>
      <c r="Q11" s="31"/>
      <c r="R11" s="27">
        <f t="shared" ref="R11:R29" si="6">IF($C11="06",1,IF($I11="06",1,IF($C43="06",1,IF($I43="06",1,0))))</f>
        <v>0</v>
      </c>
      <c r="S11" s="27">
        <f t="shared" ref="S11:S29" si="7">IF($C11="07",1,IF($I11="07",1,IF($C43="07",1,IF($I43="07",1,0))))</f>
        <v>0</v>
      </c>
      <c r="T11" s="31"/>
      <c r="U11" s="31"/>
      <c r="V11" s="31"/>
      <c r="W11" s="27">
        <f t="shared" ref="W11:W29" si="8">IF($C11="11",1,IF($I11="11",1,IF($C43="11",1,IF($I43="11",1,0))))</f>
        <v>0</v>
      </c>
      <c r="X11" s="27">
        <f t="shared" ref="X11:X29" si="9">IF($C11="14",1,IF($I11="14",1,IF($C43="14",1,IF($I43="14",1,0))))</f>
        <v>0</v>
      </c>
      <c r="Y11" s="31"/>
      <c r="Z11" s="31"/>
      <c r="AA11" s="24"/>
      <c r="AB11" s="42" t="str">
        <f>IF(OR(E$11="Local PIN Preferred",K$11="Local PIN Preferred",E$43="Local PIN Preferred",K$43="Local PIN Preferred"),"Tested with Local PIN preferred","Did not test with Local PIN Preferred")</f>
        <v>Did not test with Local PIN Preferred</v>
      </c>
      <c r="AC11" s="42" t="str">
        <f>IF(OR(E$11="Global PIN Preferred",K$11="Global PIN Preferred",E$43="Global PIN Preferred",K$43="Global PIN Preferred"),"Tested with Global PIN preferred","Did not test with Global PIN Preferred")</f>
        <v>Did not test with Global PIN Preferred</v>
      </c>
      <c r="AE11" t="str">
        <f>IF(COUNTIF($I$10:$I$29,"06")&gt;0,"06","")</f>
        <v/>
      </c>
      <c r="AF11" t="str">
        <f>IF(COUNTIF($I$10:$I$29,"07")&gt;0,"07","")</f>
        <v/>
      </c>
      <c r="AG11" t="str">
        <f>IF(COUNTIF($I$10:$I$29,"11")&gt;0,"11","")</f>
        <v/>
      </c>
      <c r="AH11" t="str">
        <f>IF(COUNTIF($I$10:$I$29,"14")&gt;0,"14","")</f>
        <v/>
      </c>
      <c r="AI11" t="str">
        <f t="shared" ref="AI11:AI17" si="10">IF(COUNTIF($AE11:$AH11,"06")&gt;0,"06,","")</f>
        <v/>
      </c>
      <c r="AJ11" t="str">
        <f t="shared" ref="AJ11:AJ17" si="11">IF(COUNTIF($AE11:$AH11,"07")&gt;0,"07,","")</f>
        <v/>
      </c>
      <c r="AK11" t="str">
        <f t="shared" ref="AK11:AK17" si="12">IF(COUNTIF($AE11:$AH11,"11")&gt;0,"11,","")</f>
        <v/>
      </c>
      <c r="AL11" t="str">
        <f t="shared" ref="AL11:AL21" si="13">IF(COUNTIF($AE11:$AH11,"14")&gt;0,"14","")</f>
        <v/>
      </c>
      <c r="AO11" t="str">
        <f t="shared" ref="AO11:AO17" si="14">CONCATENATE(AI11,AJ11,AK11,AL11)</f>
        <v/>
      </c>
    </row>
    <row r="12" spans="2:53" x14ac:dyDescent="0.2">
      <c r="B12" s="17" t="s">
        <v>41</v>
      </c>
      <c r="C12" s="10"/>
      <c r="D12" s="24"/>
      <c r="E12" s="47" t="str">
        <f>IF(_xlfn.BITAND(16,HEX2DEC(LEFT(PINUP1,2))),"Uses OCC","Does not use OCC")</f>
        <v>Does not use OCC</v>
      </c>
      <c r="F12" s="50"/>
      <c r="H12" s="17" t="s">
        <v>41</v>
      </c>
      <c r="I12" s="10"/>
      <c r="J12" s="24"/>
      <c r="K12" s="47" t="str">
        <f>IF(_xlfn.BITAND(16,HEX2DEC(LEFT(PINUP2,2))),"Uses OCC","Does not use OCC")</f>
        <v>Does not use OCC</v>
      </c>
      <c r="L12" s="50"/>
      <c r="O12" s="17" t="s">
        <v>41</v>
      </c>
      <c r="P12" s="31"/>
      <c r="Q12" s="31"/>
      <c r="R12" s="27">
        <f t="shared" si="6"/>
        <v>0</v>
      </c>
      <c r="S12" s="27">
        <f t="shared" si="7"/>
        <v>0</v>
      </c>
      <c r="T12" s="31"/>
      <c r="U12" s="31"/>
      <c r="V12" s="31"/>
      <c r="W12" s="27">
        <f t="shared" si="8"/>
        <v>0</v>
      </c>
      <c r="X12" s="27">
        <f t="shared" si="9"/>
        <v>0</v>
      </c>
      <c r="Y12" s="31"/>
      <c r="Z12" s="31"/>
      <c r="AA12" s="24"/>
      <c r="AB12" s="42" t="str">
        <f>IF(OR(E12="Uses OCC",K12="Uses OCC",E44="Uses OCC",K44="Uses OCC"),"Tested OCC Usage","Did not test OCC Usage")</f>
        <v>Did not test OCC Usage</v>
      </c>
      <c r="AC12" s="16"/>
      <c r="AE12" t="str">
        <f>IF(COUNTIF($C$42:$C$61,"06")&gt;0,"06","")</f>
        <v/>
      </c>
      <c r="AF12" t="str">
        <f>IF(COUNTIF($C$42:$C$61,"07")&gt;0,"07","")</f>
        <v/>
      </c>
      <c r="AG12" t="str">
        <f>IF(COUNTIF($C$42:$C$61,"11")&gt;0,"11","")</f>
        <v/>
      </c>
      <c r="AH12" t="str">
        <f>IF(COUNTIF($C$42:$C$61,"14")&gt;0,"14","")</f>
        <v/>
      </c>
      <c r="AI12" t="str">
        <f t="shared" si="10"/>
        <v/>
      </c>
      <c r="AJ12" t="str">
        <f t="shared" si="11"/>
        <v/>
      </c>
      <c r="AK12" t="str">
        <f t="shared" si="12"/>
        <v/>
      </c>
      <c r="AL12" t="str">
        <f t="shared" si="13"/>
        <v/>
      </c>
      <c r="AO12" t="str">
        <f t="shared" si="14"/>
        <v/>
      </c>
    </row>
    <row r="13" spans="2:53" x14ac:dyDescent="0.2">
      <c r="B13" s="17" t="s">
        <v>42</v>
      </c>
      <c r="C13" s="10"/>
      <c r="D13" s="24"/>
      <c r="E13" s="47" t="str">
        <f>IF(_xlfn.BITAND(8,HEX2DEC(LEFT(PINUP1,2))),"VCI implemented","VCI not implemented")</f>
        <v>VCI not implemented</v>
      </c>
      <c r="F13" s="50"/>
      <c r="H13" s="17" t="s">
        <v>42</v>
      </c>
      <c r="I13" s="10"/>
      <c r="J13" s="24"/>
      <c r="K13" s="47" t="str">
        <f>IF(_xlfn.BITAND(8,HEX2DEC(LEFT(PINUP2,2))),"VCI implemented","VCI not implemented")</f>
        <v>VCI not implemented</v>
      </c>
      <c r="L13" s="50"/>
      <c r="O13" s="17" t="s">
        <v>42</v>
      </c>
      <c r="P13" s="31"/>
      <c r="Q13" s="31"/>
      <c r="R13" s="27">
        <f t="shared" si="6"/>
        <v>0</v>
      </c>
      <c r="S13" s="27">
        <f t="shared" si="7"/>
        <v>0</v>
      </c>
      <c r="T13" s="31"/>
      <c r="U13" s="31"/>
      <c r="V13" s="31"/>
      <c r="W13" s="27">
        <f t="shared" si="8"/>
        <v>0</v>
      </c>
      <c r="X13" s="27">
        <f t="shared" si="9"/>
        <v>0</v>
      </c>
      <c r="Y13" s="31"/>
      <c r="Z13" s="31"/>
      <c r="AA13" s="24"/>
      <c r="AB13" s="42" t="str">
        <f>IF(OR(E13="VCI Implemented",K13="VCI Implemented",E45="VCI Implemented",K45="VCI Implemented"),"Tested VCI Usage","Did not test VCI Usage")</f>
        <v>Did not test VCI Usage</v>
      </c>
      <c r="AC13" s="16"/>
      <c r="AE13" t="str">
        <f>IF(COUNTIF($I$42:$I$61,"06")&gt;0,"06","")</f>
        <v/>
      </c>
      <c r="AF13" t="str">
        <f>IF(COUNTIF($I$42:$I$61,"07")&gt;0,"07","")</f>
        <v/>
      </c>
      <c r="AG13" t="str">
        <f>IF(COUNTIF($I$42:$I$61,"11")&gt;0,"11","")</f>
        <v/>
      </c>
      <c r="AH13" t="str">
        <f>IF(COUNTIF($I$42:$I$61,"14")&gt;0,"14","")</f>
        <v/>
      </c>
      <c r="AI13" t="str">
        <f t="shared" si="10"/>
        <v/>
      </c>
      <c r="AJ13" t="str">
        <f t="shared" si="11"/>
        <v/>
      </c>
      <c r="AK13" t="str">
        <f t="shared" si="12"/>
        <v/>
      </c>
      <c r="AL13" t="str">
        <f t="shared" si="13"/>
        <v/>
      </c>
      <c r="AO13" t="str">
        <f t="shared" si="14"/>
        <v/>
      </c>
    </row>
    <row r="14" spans="2:53" x14ac:dyDescent="0.2">
      <c r="B14" s="17" t="s">
        <v>43</v>
      </c>
      <c r="C14" s="10"/>
      <c r="D14" s="24"/>
      <c r="E14" s="47" t="str">
        <f>IF(E13="VCI implemented",IF(_xlfn.BITAND(4,HEX2DEC(LEFT(PINUP1,2))),"Doesn't require pairing code","Requires pairing code"),"")</f>
        <v/>
      </c>
      <c r="F14" s="50"/>
      <c r="H14" s="17" t="s">
        <v>43</v>
      </c>
      <c r="I14" s="10"/>
      <c r="J14" s="24"/>
      <c r="K14" s="47" t="str">
        <f>IF(K13="VCI implemented",IF(_xlfn.BITAND(4,HEX2DEC(LEFT(PINUP2,2))),"Doesn't require pairing code","Requires pairing code"),"")</f>
        <v/>
      </c>
      <c r="L14" s="50"/>
      <c r="O14" s="17" t="s">
        <v>43</v>
      </c>
      <c r="P14" s="31"/>
      <c r="Q14" s="31"/>
      <c r="R14" s="27">
        <f t="shared" si="6"/>
        <v>0</v>
      </c>
      <c r="S14" s="27">
        <f t="shared" si="7"/>
        <v>0</v>
      </c>
      <c r="T14" s="31"/>
      <c r="U14" s="31"/>
      <c r="V14" s="31"/>
      <c r="W14" s="27">
        <f t="shared" si="8"/>
        <v>0</v>
      </c>
      <c r="X14" s="27">
        <f t="shared" si="9"/>
        <v>0</v>
      </c>
      <c r="Y14" s="31"/>
      <c r="Z14" s="31"/>
      <c r="AA14" s="24"/>
      <c r="AB14" s="42" t="str">
        <f>IF(AB13="Tested VCI Usage",IF(OR(E$14="Doesn't require pairing code",K$14="Doesn't require pairing code",E$46="Doesn't require pairing code",K$46="Doesn't require pairing code"),"Tested VCI without pairing code","Did not test VCI without pairing code"),"")</f>
        <v/>
      </c>
      <c r="AC14" s="42" t="str">
        <f>IF(AB13="Tested VCI Usage",IF(OR(E$14="Requires pairing code",K$14="Requires pairing code",E$46="Requires pairing code",K$46="Requires pairing code"),"Tested VCI with pairing code","Did not test VCI with pairing code"),"")</f>
        <v/>
      </c>
      <c r="AE14" t="str">
        <f>IF(ISBLANK(C14),"",C14)</f>
        <v/>
      </c>
      <c r="AF14" t="str">
        <f>IF(ISBLANK(I14),"",I14)</f>
        <v/>
      </c>
      <c r="AG14" t="str">
        <f>IF(ISBLANK(C46),"",C46)</f>
        <v/>
      </c>
      <c r="AH14" t="str">
        <f>IF(ISBLANK(I46),"",I46)</f>
        <v/>
      </c>
      <c r="AI14" t="str">
        <f t="shared" si="10"/>
        <v/>
      </c>
      <c r="AJ14" t="str">
        <f t="shared" si="11"/>
        <v/>
      </c>
      <c r="AK14" t="str">
        <f t="shared" si="12"/>
        <v/>
      </c>
      <c r="AL14" t="str">
        <f t="shared" si="13"/>
        <v/>
      </c>
      <c r="AO14" t="str">
        <f t="shared" si="14"/>
        <v/>
      </c>
    </row>
    <row r="15" spans="2:53" x14ac:dyDescent="0.2">
      <c r="B15" s="17" t="s">
        <v>44</v>
      </c>
      <c r="C15" s="10"/>
      <c r="D15" s="24"/>
      <c r="E15" s="24"/>
      <c r="F15" s="50"/>
      <c r="H15" s="17" t="s">
        <v>44</v>
      </c>
      <c r="I15" s="10"/>
      <c r="J15" s="24"/>
      <c r="K15" s="24"/>
      <c r="L15" s="50"/>
      <c r="O15" s="17" t="s">
        <v>44</v>
      </c>
      <c r="P15" s="31"/>
      <c r="Q15" s="31"/>
      <c r="R15" s="27">
        <f t="shared" si="6"/>
        <v>0</v>
      </c>
      <c r="S15" s="27">
        <f t="shared" si="7"/>
        <v>0</v>
      </c>
      <c r="T15" s="31"/>
      <c r="U15" s="31"/>
      <c r="V15" s="31"/>
      <c r="W15" s="27">
        <f t="shared" si="8"/>
        <v>0</v>
      </c>
      <c r="X15" s="27">
        <f t="shared" si="9"/>
        <v>0</v>
      </c>
      <c r="Y15" s="31"/>
      <c r="Z15" s="31"/>
      <c r="AA15" s="24"/>
      <c r="AB15" s="42"/>
      <c r="AC15" s="16"/>
      <c r="AE15" t="str">
        <f>IF(ISBLANK(C15),"",C15)</f>
        <v/>
      </c>
      <c r="AF15" t="str">
        <f>IF(ISBLANK(I15),"",I15)</f>
        <v/>
      </c>
      <c r="AG15" t="str">
        <f>IF(ISBLANK(C47),"",C47)</f>
        <v/>
      </c>
      <c r="AH15" t="str">
        <f>IF(ISBLANK(I47),"",I47)</f>
        <v/>
      </c>
      <c r="AI15" t="str">
        <f t="shared" si="10"/>
        <v/>
      </c>
      <c r="AJ15" t="str">
        <f t="shared" si="11"/>
        <v/>
      </c>
      <c r="AK15" t="str">
        <f t="shared" si="12"/>
        <v/>
      </c>
      <c r="AL15" t="str">
        <f t="shared" si="13"/>
        <v/>
      </c>
      <c r="AO15" t="str">
        <f t="shared" si="14"/>
        <v/>
      </c>
    </row>
    <row r="16" spans="2:53" x14ac:dyDescent="0.2">
      <c r="B16" s="17" t="s">
        <v>45</v>
      </c>
      <c r="C16" s="10"/>
      <c r="D16" s="24"/>
      <c r="E16" s="24"/>
      <c r="F16" s="50"/>
      <c r="H16" s="17" t="s">
        <v>45</v>
      </c>
      <c r="I16" s="10"/>
      <c r="J16" s="24"/>
      <c r="K16" s="24"/>
      <c r="L16" s="50"/>
      <c r="O16" s="17" t="s">
        <v>45</v>
      </c>
      <c r="P16" s="31"/>
      <c r="Q16" s="31"/>
      <c r="R16" s="27">
        <f t="shared" si="6"/>
        <v>0</v>
      </c>
      <c r="S16" s="27">
        <f t="shared" si="7"/>
        <v>0</v>
      </c>
      <c r="T16" s="31"/>
      <c r="U16" s="31"/>
      <c r="V16" s="31"/>
      <c r="W16" s="27">
        <f t="shared" si="8"/>
        <v>0</v>
      </c>
      <c r="X16" s="27">
        <f t="shared" si="9"/>
        <v>0</v>
      </c>
      <c r="Y16" s="31"/>
      <c r="Z16" s="31"/>
      <c r="AA16" s="24"/>
      <c r="AC16" s="16"/>
      <c r="AE16" t="str">
        <f>IF(ISBLANK(C16),"",C16)</f>
        <v/>
      </c>
      <c r="AF16" t="str">
        <f>IF(ISBLANK(I16),"",I16)</f>
        <v/>
      </c>
      <c r="AG16" t="str">
        <f>IF(ISBLANK(C48),"",C48)</f>
        <v/>
      </c>
      <c r="AH16" t="str">
        <f>IF(ISBLANK(I48),"",I48)</f>
        <v/>
      </c>
      <c r="AI16" t="str">
        <f t="shared" si="10"/>
        <v/>
      </c>
      <c r="AJ16" t="str">
        <f t="shared" si="11"/>
        <v/>
      </c>
      <c r="AK16" t="str">
        <f t="shared" si="12"/>
        <v/>
      </c>
      <c r="AL16" t="str">
        <f t="shared" si="13"/>
        <v/>
      </c>
      <c r="AO16" t="str">
        <f t="shared" si="14"/>
        <v/>
      </c>
    </row>
    <row r="17" spans="2:42" x14ac:dyDescent="0.2">
      <c r="B17" s="17" t="s">
        <v>46</v>
      </c>
      <c r="C17" s="10"/>
      <c r="D17" s="24"/>
      <c r="E17" s="7" t="s">
        <v>65</v>
      </c>
      <c r="F17" s="14"/>
      <c r="H17" s="17" t="s">
        <v>46</v>
      </c>
      <c r="I17" s="10"/>
      <c r="J17" s="24"/>
      <c r="K17" s="7" t="s">
        <v>65</v>
      </c>
      <c r="L17" s="14"/>
      <c r="O17" s="17" t="s">
        <v>46</v>
      </c>
      <c r="P17" s="31"/>
      <c r="Q17" s="31"/>
      <c r="R17" s="27">
        <f t="shared" si="6"/>
        <v>0</v>
      </c>
      <c r="S17" s="27">
        <f t="shared" si="7"/>
        <v>0</v>
      </c>
      <c r="T17" s="31"/>
      <c r="U17" s="31"/>
      <c r="V17" s="31"/>
      <c r="W17" s="27">
        <f t="shared" si="8"/>
        <v>0</v>
      </c>
      <c r="X17" s="27">
        <f t="shared" si="9"/>
        <v>0</v>
      </c>
      <c r="Y17" s="31"/>
      <c r="Z17" s="31"/>
      <c r="AA17" s="24"/>
      <c r="AB17" s="7" t="s">
        <v>65</v>
      </c>
      <c r="AC17" s="14" t="str">
        <f>IF(OR(F17="Yes",L17="Yes",F49="Yes",L49="Yes"),"Yes","No")</f>
        <v>No</v>
      </c>
      <c r="AE17" t="str">
        <f>IF(ISBLANK(C17),"",C17)</f>
        <v/>
      </c>
      <c r="AF17" t="str">
        <f>IF(ISBLANK(I17),"",I17)</f>
        <v/>
      </c>
      <c r="AG17" t="str">
        <f>IF(ISBLANK(C49),"",C49)</f>
        <v/>
      </c>
      <c r="AH17" t="str">
        <f>IF(ISBLANK(I49),"",I49)</f>
        <v/>
      </c>
      <c r="AI17" t="str">
        <f t="shared" si="10"/>
        <v/>
      </c>
      <c r="AJ17" t="str">
        <f t="shared" si="11"/>
        <v/>
      </c>
      <c r="AK17" t="str">
        <f t="shared" si="12"/>
        <v/>
      </c>
      <c r="AL17" t="str">
        <f t="shared" si="13"/>
        <v/>
      </c>
      <c r="AO17" t="str">
        <f t="shared" si="14"/>
        <v/>
      </c>
    </row>
    <row r="18" spans="2:42" x14ac:dyDescent="0.2">
      <c r="B18" s="17" t="s">
        <v>47</v>
      </c>
      <c r="C18" s="10"/>
      <c r="D18" s="24"/>
      <c r="E18" s="2" t="s">
        <v>72</v>
      </c>
      <c r="F18" s="14"/>
      <c r="H18" s="17" t="s">
        <v>47</v>
      </c>
      <c r="I18" s="10"/>
      <c r="J18" s="24"/>
      <c r="K18" s="2" t="s">
        <v>72</v>
      </c>
      <c r="L18" s="14"/>
      <c r="O18" s="17" t="s">
        <v>47</v>
      </c>
      <c r="P18" s="31"/>
      <c r="Q18" s="31"/>
      <c r="R18" s="27">
        <f t="shared" si="6"/>
        <v>0</v>
      </c>
      <c r="S18" s="27">
        <f t="shared" si="7"/>
        <v>0</v>
      </c>
      <c r="T18" s="31"/>
      <c r="U18" s="31"/>
      <c r="V18" s="31"/>
      <c r="W18" s="27">
        <f t="shared" si="8"/>
        <v>0</v>
      </c>
      <c r="X18" s="27">
        <f t="shared" si="9"/>
        <v>0</v>
      </c>
      <c r="Y18" s="31"/>
      <c r="Z18" s="31"/>
      <c r="AA18" s="24"/>
      <c r="AB18" s="36" t="s">
        <v>72</v>
      </c>
      <c r="AC18" s="74" t="str">
        <f>IF(AC17="Yes",CONCATENATE(AI18,AJ18),"N/A")</f>
        <v>N/A</v>
      </c>
      <c r="AE18" t="str">
        <f>IF(ISBLANK(F18),"",F18)</f>
        <v/>
      </c>
      <c r="AF18" t="str">
        <f>IF(ISBLANK(L18),"",L18)</f>
        <v/>
      </c>
      <c r="AG18" t="str">
        <f>IF(ISBLANK(F50),"",F50)</f>
        <v/>
      </c>
      <c r="AH18" t="str">
        <f>IF(ISBLANK(L50),"",L50)</f>
        <v/>
      </c>
      <c r="AI18" t="str">
        <f>IF(COUNTIF($AE18:$AH18,"CS2")&gt;0,"CS2","")</f>
        <v/>
      </c>
      <c r="AJ18" t="str">
        <f>IF(COUNTIF($AE18:$AH18,"CS7")&gt;0,"CS7","")</f>
        <v/>
      </c>
      <c r="AL18" t="str">
        <f t="shared" si="13"/>
        <v/>
      </c>
    </row>
    <row r="19" spans="2:42" x14ac:dyDescent="0.2">
      <c r="B19" s="17" t="s">
        <v>48</v>
      </c>
      <c r="C19" s="10"/>
      <c r="D19" s="24"/>
      <c r="E19" s="2" t="s">
        <v>71</v>
      </c>
      <c r="F19" s="14"/>
      <c r="H19" s="17" t="s">
        <v>48</v>
      </c>
      <c r="I19" s="10"/>
      <c r="J19" s="24"/>
      <c r="K19" s="2" t="s">
        <v>71</v>
      </c>
      <c r="L19" s="14"/>
      <c r="O19" s="17" t="s">
        <v>48</v>
      </c>
      <c r="P19" s="31"/>
      <c r="Q19" s="31"/>
      <c r="R19" s="27">
        <f t="shared" si="6"/>
        <v>0</v>
      </c>
      <c r="S19" s="27">
        <f t="shared" si="7"/>
        <v>0</v>
      </c>
      <c r="T19" s="31"/>
      <c r="U19" s="31"/>
      <c r="V19" s="31"/>
      <c r="W19" s="27">
        <f t="shared" si="8"/>
        <v>0</v>
      </c>
      <c r="X19" s="27">
        <f t="shared" si="9"/>
        <v>0</v>
      </c>
      <c r="Y19" s="31"/>
      <c r="Z19" s="31"/>
      <c r="AA19" s="24"/>
      <c r="AB19" s="36" t="s">
        <v>71</v>
      </c>
      <c r="AC19" s="14" t="str">
        <f>IF(AC17="Yes",IF(OR(PrintedInfo1="Yes",L19="Yes",F51="Yes",L51="Yes"),"Yes","No"),"N/A")</f>
        <v>N/A</v>
      </c>
      <c r="AE19" t="str">
        <f>IF(ISBLANK(C19),"",C19)</f>
        <v/>
      </c>
      <c r="AF19" t="str">
        <f>IF(ISBLANK(I19),"",I19)</f>
        <v/>
      </c>
      <c r="AG19" t="str">
        <f>IF(ISBLANK(C51),"",C51)</f>
        <v/>
      </c>
      <c r="AH19" t="str">
        <f>IF(ISBLANK(I51),"",I51)</f>
        <v/>
      </c>
      <c r="AI19" t="str">
        <f t="shared" ref="AI19:AI25" si="15">IF(COUNTIF($AE19:$AH19,"06")&gt;0,"06,","")</f>
        <v/>
      </c>
      <c r="AJ19" t="str">
        <f>IF(COUNTIF($AE19:$AH19,"07")&gt;0,"07,","")</f>
        <v/>
      </c>
      <c r="AK19" t="str">
        <f>IF(COUNTIF($AE19:$AH19,"11")&gt;0,"11,","")</f>
        <v/>
      </c>
      <c r="AL19" t="str">
        <f t="shared" si="13"/>
        <v/>
      </c>
      <c r="AO19" t="str">
        <f>CONCATENATE(AI19,AJ19,AK19,AL19)</f>
        <v/>
      </c>
    </row>
    <row r="20" spans="2:42" x14ac:dyDescent="0.2">
      <c r="B20" s="17" t="s">
        <v>49</v>
      </c>
      <c r="C20" s="10"/>
      <c r="D20" s="24"/>
      <c r="E20" s="24"/>
      <c r="F20" s="50"/>
      <c r="H20" s="17" t="s">
        <v>49</v>
      </c>
      <c r="I20" s="10"/>
      <c r="J20" s="24"/>
      <c r="K20" s="24"/>
      <c r="L20" s="50"/>
      <c r="O20" s="17" t="s">
        <v>49</v>
      </c>
      <c r="P20" s="31"/>
      <c r="Q20" s="31"/>
      <c r="R20" s="27">
        <f t="shared" si="6"/>
        <v>0</v>
      </c>
      <c r="S20" s="27">
        <f t="shared" si="7"/>
        <v>0</v>
      </c>
      <c r="T20" s="31"/>
      <c r="U20" s="31"/>
      <c r="V20" s="31"/>
      <c r="W20" s="27">
        <f t="shared" si="8"/>
        <v>0</v>
      </c>
      <c r="X20" s="27">
        <f t="shared" si="9"/>
        <v>0</v>
      </c>
      <c r="Y20" s="31"/>
      <c r="Z20" s="31"/>
      <c r="AA20" s="24"/>
      <c r="AC20" s="16"/>
      <c r="AE20" t="str">
        <f>IF(ISBLANK(C20),"",C20)</f>
        <v/>
      </c>
      <c r="AF20" t="str">
        <f>IF(ISBLANK(I20),"",I20)</f>
        <v/>
      </c>
      <c r="AG20" t="str">
        <f>IF(ISBLANK(C52),"",C52)</f>
        <v/>
      </c>
      <c r="AH20" t="str">
        <f>IF(ISBLANK(I52),"",I52)</f>
        <v/>
      </c>
      <c r="AI20" t="str">
        <f t="shared" si="15"/>
        <v/>
      </c>
      <c r="AJ20" t="str">
        <f>IF(COUNTIF($AE20:$AH20,"07")&gt;0,"07,","")</f>
        <v/>
      </c>
      <c r="AK20" t="str">
        <f>IF(COUNTIF($AE20:$AH20,"11")&gt;0,"11,","")</f>
        <v/>
      </c>
      <c r="AL20" t="str">
        <f t="shared" si="13"/>
        <v/>
      </c>
      <c r="AO20" t="str">
        <f>CONCATENATE(AI20,AJ20,AK20,AL20)</f>
        <v/>
      </c>
    </row>
    <row r="21" spans="2:42" x14ac:dyDescent="0.2">
      <c r="B21" s="17" t="s">
        <v>50</v>
      </c>
      <c r="C21" s="10"/>
      <c r="D21" s="24"/>
      <c r="E21" s="7" t="s">
        <v>63</v>
      </c>
      <c r="F21" s="14"/>
      <c r="H21" s="17" t="s">
        <v>50</v>
      </c>
      <c r="I21" s="10"/>
      <c r="J21" s="24"/>
      <c r="K21" s="87" t="s">
        <v>63</v>
      </c>
      <c r="L21" s="14"/>
      <c r="O21" s="17" t="s">
        <v>50</v>
      </c>
      <c r="P21" s="31"/>
      <c r="Q21" s="31"/>
      <c r="R21" s="27">
        <f t="shared" si="6"/>
        <v>0</v>
      </c>
      <c r="S21" s="27">
        <f t="shared" si="7"/>
        <v>0</v>
      </c>
      <c r="T21" s="31"/>
      <c r="U21" s="31"/>
      <c r="V21" s="31"/>
      <c r="W21" s="27">
        <f t="shared" si="8"/>
        <v>0</v>
      </c>
      <c r="X21" s="27">
        <f t="shared" si="9"/>
        <v>0</v>
      </c>
      <c r="Y21" s="31"/>
      <c r="Z21" s="31"/>
      <c r="AA21" s="24"/>
      <c r="AB21" s="7" t="s">
        <v>63</v>
      </c>
      <c r="AC21" s="14" t="str">
        <f>IF(OR(F21="Yes",L21="Yes",F53="Yes",L53="Yes"),"Yes","No")</f>
        <v>No</v>
      </c>
      <c r="AE21" t="str">
        <f>IF(ISBLANK(C21),"",C21)</f>
        <v/>
      </c>
      <c r="AF21" t="str">
        <f>IF(ISBLANK(I21),"",I21)</f>
        <v/>
      </c>
      <c r="AG21" t="str">
        <f>IF(ISBLANK(C53),"",C53)</f>
        <v/>
      </c>
      <c r="AH21" t="str">
        <f>IF(ISBLANK(I53),"",I53)</f>
        <v/>
      </c>
      <c r="AI21" t="str">
        <f t="shared" si="15"/>
        <v/>
      </c>
      <c r="AJ21" t="str">
        <f>IF(COUNTIF($AE21:$AH21,"07")&gt;0,"07,","")</f>
        <v/>
      </c>
      <c r="AK21" t="str">
        <f>IF(COUNTIF($AE21:$AH21,"11")&gt;0,"11,","")</f>
        <v/>
      </c>
      <c r="AL21" t="str">
        <f t="shared" si="13"/>
        <v/>
      </c>
      <c r="AO21" t="str">
        <f>CONCATENATE(AI21,AJ21,AK21,AL21)</f>
        <v/>
      </c>
    </row>
    <row r="22" spans="2:42" x14ac:dyDescent="0.2">
      <c r="B22" s="17" t="s">
        <v>51</v>
      </c>
      <c r="C22" s="10"/>
      <c r="D22" s="24"/>
      <c r="E22" s="2" t="s">
        <v>68</v>
      </c>
      <c r="F22" s="14"/>
      <c r="H22" s="17" t="s">
        <v>51</v>
      </c>
      <c r="I22" s="10"/>
      <c r="J22" s="24"/>
      <c r="K22" s="2" t="s">
        <v>68</v>
      </c>
      <c r="L22" s="14"/>
      <c r="O22" s="17" t="s">
        <v>51</v>
      </c>
      <c r="P22" s="31"/>
      <c r="Q22" s="31"/>
      <c r="R22" s="27">
        <f t="shared" si="6"/>
        <v>0</v>
      </c>
      <c r="S22" s="27">
        <f t="shared" si="7"/>
        <v>0</v>
      </c>
      <c r="T22" s="31"/>
      <c r="U22" s="31"/>
      <c r="V22" s="31"/>
      <c r="W22" s="27">
        <f t="shared" si="8"/>
        <v>0</v>
      </c>
      <c r="X22" s="27">
        <f t="shared" si="9"/>
        <v>0</v>
      </c>
      <c r="Y22" s="31"/>
      <c r="Z22" s="31"/>
      <c r="AA22" s="24"/>
      <c r="AB22" s="2" t="s">
        <v>68</v>
      </c>
      <c r="AC22" s="14" t="str">
        <f>CONCATENATE(AO22," - ",AP22)</f>
        <v>0 - 0</v>
      </c>
      <c r="AE22">
        <f>F22</f>
        <v>0</v>
      </c>
      <c r="AF22">
        <f>L22</f>
        <v>0</v>
      </c>
      <c r="AG22">
        <f>F54</f>
        <v>0</v>
      </c>
      <c r="AH22">
        <f>L54</f>
        <v>0</v>
      </c>
      <c r="AI22" t="str">
        <f t="shared" si="15"/>
        <v/>
      </c>
      <c r="AO22">
        <f>MIN(AE22:AH22)</f>
        <v>0</v>
      </c>
      <c r="AP22">
        <f>MAX(AE22:AH22)</f>
        <v>0</v>
      </c>
    </row>
    <row r="23" spans="2:42" x14ac:dyDescent="0.2">
      <c r="B23" s="17" t="s">
        <v>52</v>
      </c>
      <c r="C23" s="10"/>
      <c r="D23" s="24"/>
      <c r="E23" s="2" t="s">
        <v>69</v>
      </c>
      <c r="F23" s="14"/>
      <c r="H23" s="17" t="s">
        <v>52</v>
      </c>
      <c r="I23" s="10"/>
      <c r="J23" s="24"/>
      <c r="K23" s="2" t="s">
        <v>69</v>
      </c>
      <c r="L23" s="14"/>
      <c r="O23" s="17" t="s">
        <v>52</v>
      </c>
      <c r="P23" s="31"/>
      <c r="Q23" s="31"/>
      <c r="R23" s="27">
        <f t="shared" si="6"/>
        <v>0</v>
      </c>
      <c r="S23" s="27">
        <f t="shared" si="7"/>
        <v>0</v>
      </c>
      <c r="T23" s="31"/>
      <c r="U23" s="31"/>
      <c r="V23" s="31"/>
      <c r="W23" s="27">
        <f t="shared" si="8"/>
        <v>0</v>
      </c>
      <c r="X23" s="27">
        <f t="shared" si="9"/>
        <v>0</v>
      </c>
      <c r="Y23" s="31"/>
      <c r="Z23" s="31"/>
      <c r="AA23" s="24"/>
      <c r="AB23" s="2" t="s">
        <v>69</v>
      </c>
      <c r="AC23" s="14" t="str">
        <f>CONCATENATE(AO23," - ",AP23)</f>
        <v>0 - 0</v>
      </c>
      <c r="AE23">
        <f>F23</f>
        <v>0</v>
      </c>
      <c r="AF23">
        <f>L23</f>
        <v>0</v>
      </c>
      <c r="AG23">
        <f>F55</f>
        <v>0</v>
      </c>
      <c r="AH23">
        <f>L55</f>
        <v>0</v>
      </c>
      <c r="AI23" t="str">
        <f t="shared" si="15"/>
        <v/>
      </c>
      <c r="AO23">
        <f>MIN(AE23:AH23)</f>
        <v>0</v>
      </c>
      <c r="AP23">
        <f>MAX(AE23:AH23)</f>
        <v>0</v>
      </c>
    </row>
    <row r="24" spans="2:42" x14ac:dyDescent="0.2">
      <c r="B24" s="17" t="s">
        <v>53</v>
      </c>
      <c r="C24" s="10"/>
      <c r="D24" s="24"/>
      <c r="E24" s="24"/>
      <c r="F24" s="50"/>
      <c r="H24" s="17" t="s">
        <v>53</v>
      </c>
      <c r="I24" s="10"/>
      <c r="J24" s="24"/>
      <c r="K24" s="24"/>
      <c r="L24" s="50"/>
      <c r="O24" s="17" t="s">
        <v>53</v>
      </c>
      <c r="P24" s="31"/>
      <c r="Q24" s="31"/>
      <c r="R24" s="27">
        <f t="shared" si="6"/>
        <v>0</v>
      </c>
      <c r="S24" s="27">
        <f t="shared" si="7"/>
        <v>0</v>
      </c>
      <c r="T24" s="31"/>
      <c r="U24" s="31"/>
      <c r="V24" s="31"/>
      <c r="W24" s="27">
        <f t="shared" si="8"/>
        <v>0</v>
      </c>
      <c r="X24" s="27">
        <f t="shared" si="9"/>
        <v>0</v>
      </c>
      <c r="Y24" s="31"/>
      <c r="Z24" s="31"/>
      <c r="AA24" s="24"/>
      <c r="AC24" s="16"/>
      <c r="AE24" t="str">
        <f>IF(ISBLANK(C24),"",C24)</f>
        <v/>
      </c>
      <c r="AF24" t="str">
        <f>IF(ISBLANK(I24),"",I24)</f>
        <v/>
      </c>
      <c r="AG24" t="str">
        <f>IF(ISBLANK(C56),"",C56)</f>
        <v/>
      </c>
      <c r="AH24" t="str">
        <f>IF(ISBLANK(I56),"",I56)</f>
        <v/>
      </c>
      <c r="AI24" t="str">
        <f t="shared" si="15"/>
        <v/>
      </c>
      <c r="AJ24" t="str">
        <f>IF(COUNTIF($AE24:$AH24,"07")&gt;0,"07,","")</f>
        <v/>
      </c>
      <c r="AK24" t="str">
        <f>IF(COUNTIF($AE24:$AH24,"11")&gt;0,"11,","")</f>
        <v/>
      </c>
      <c r="AL24" t="str">
        <f>IF(COUNTIF($AE24:$AH24,"14")&gt;0,"14","")</f>
        <v/>
      </c>
      <c r="AO24" t="str">
        <f>CONCATENATE(AI24,AJ24,AK24,AL24)</f>
        <v/>
      </c>
    </row>
    <row r="25" spans="2:42" x14ac:dyDescent="0.2">
      <c r="B25" s="17" t="s">
        <v>54</v>
      </c>
      <c r="C25" s="10"/>
      <c r="D25" s="24"/>
      <c r="E25" s="24" t="s">
        <v>94</v>
      </c>
      <c r="F25" s="50"/>
      <c r="H25" s="17" t="s">
        <v>54</v>
      </c>
      <c r="I25" s="10"/>
      <c r="J25" s="24"/>
      <c r="K25" s="24" t="s">
        <v>94</v>
      </c>
      <c r="L25" s="50"/>
      <c r="O25" s="17" t="s">
        <v>54</v>
      </c>
      <c r="P25" s="31"/>
      <c r="Q25" s="31"/>
      <c r="R25" s="27">
        <f t="shared" si="6"/>
        <v>0</v>
      </c>
      <c r="S25" s="27">
        <f t="shared" si="7"/>
        <v>0</v>
      </c>
      <c r="T25" s="31"/>
      <c r="U25" s="31"/>
      <c r="V25" s="31"/>
      <c r="W25" s="27">
        <f t="shared" si="8"/>
        <v>0</v>
      </c>
      <c r="X25" s="27">
        <f t="shared" si="9"/>
        <v>0</v>
      </c>
      <c r="Y25" s="31"/>
      <c r="Z25" s="31"/>
      <c r="AA25" s="24"/>
      <c r="AB25" t="s">
        <v>94</v>
      </c>
      <c r="AC25" s="16"/>
      <c r="AE25" t="str">
        <f>IF(ISBLANK(C25),"",C25)</f>
        <v/>
      </c>
      <c r="AF25" t="str">
        <f>IF(ISBLANK(I25),"",I25)</f>
        <v/>
      </c>
      <c r="AG25" t="str">
        <f>IF(ISBLANK(C57),"",C57)</f>
        <v/>
      </c>
      <c r="AH25" t="str">
        <f>IF(ISBLANK(I57),"",I57)</f>
        <v/>
      </c>
      <c r="AI25" t="str">
        <f t="shared" si="15"/>
        <v/>
      </c>
      <c r="AJ25" t="str">
        <f>IF(COUNTIF($AE25:$AH25,"07")&gt;0,"07,","")</f>
        <v/>
      </c>
      <c r="AK25" t="str">
        <f>IF(COUNTIF($AE25:$AH25,"11")&gt;0,"11,","")</f>
        <v/>
      </c>
      <c r="AL25" t="str">
        <f>IF(COUNTIF($AE25:$AH25,"14")&gt;0,"14","")</f>
        <v/>
      </c>
      <c r="AO25" t="str">
        <f>CONCATENATE(AI25,AJ25,AK25,AL25)</f>
        <v/>
      </c>
    </row>
    <row r="26" spans="2:42" x14ac:dyDescent="0.2">
      <c r="B26" s="17" t="s">
        <v>55</v>
      </c>
      <c r="C26" s="10"/>
      <c r="D26" s="24"/>
      <c r="E26" s="51"/>
      <c r="F26" s="54"/>
      <c r="H26" s="17" t="s">
        <v>55</v>
      </c>
      <c r="I26" s="10"/>
      <c r="J26" s="24"/>
      <c r="K26" s="51"/>
      <c r="L26" s="54"/>
      <c r="O26" s="17" t="s">
        <v>55</v>
      </c>
      <c r="P26" s="31"/>
      <c r="Q26" s="31"/>
      <c r="R26" s="27">
        <f t="shared" si="6"/>
        <v>0</v>
      </c>
      <c r="S26" s="27">
        <f t="shared" si="7"/>
        <v>0</v>
      </c>
      <c r="T26" s="31"/>
      <c r="U26" s="31"/>
      <c r="V26" s="31"/>
      <c r="W26" s="27">
        <f t="shared" si="8"/>
        <v>0</v>
      </c>
      <c r="X26" s="27">
        <f t="shared" si="9"/>
        <v>0</v>
      </c>
      <c r="Y26" s="31"/>
      <c r="Z26" s="31"/>
      <c r="AA26" s="24"/>
      <c r="AB26" s="26" t="str">
        <f>IF(_xlfn.BITAND(67,HEX2DEC(LEFT(PINUP1,2))),"Valid PIN Usage Policy byte 1","Invalid PIN Usage Policy byte 1")</f>
        <v>Invalid PIN Usage Policy byte 1</v>
      </c>
      <c r="AC26" s="16"/>
    </row>
    <row r="27" spans="2:42" x14ac:dyDescent="0.2">
      <c r="B27" s="17" t="s">
        <v>56</v>
      </c>
      <c r="C27" s="10"/>
      <c r="D27" s="24"/>
      <c r="E27" s="52"/>
      <c r="F27" s="16"/>
      <c r="H27" s="17" t="s">
        <v>56</v>
      </c>
      <c r="I27" s="10"/>
      <c r="J27" s="24"/>
      <c r="K27" s="52"/>
      <c r="L27" s="68"/>
      <c r="O27" s="17" t="s">
        <v>56</v>
      </c>
      <c r="P27" s="31"/>
      <c r="Q27" s="31"/>
      <c r="R27" s="27">
        <f t="shared" si="6"/>
        <v>0</v>
      </c>
      <c r="S27" s="27">
        <f t="shared" si="7"/>
        <v>0</v>
      </c>
      <c r="T27" s="31"/>
      <c r="U27" s="31"/>
      <c r="V27" s="31"/>
      <c r="W27" s="27">
        <f t="shared" si="8"/>
        <v>0</v>
      </c>
      <c r="X27" s="27">
        <f t="shared" si="9"/>
        <v>0</v>
      </c>
      <c r="Y27" s="31"/>
      <c r="Z27" s="31"/>
      <c r="AA27" s="24"/>
      <c r="AC27" s="16"/>
    </row>
    <row r="28" spans="2:42" x14ac:dyDescent="0.2">
      <c r="B28" s="17" t="s">
        <v>57</v>
      </c>
      <c r="C28" s="10"/>
      <c r="D28" s="24"/>
      <c r="E28" s="52"/>
      <c r="F28" s="16"/>
      <c r="H28" s="17" t="s">
        <v>57</v>
      </c>
      <c r="I28" s="10"/>
      <c r="J28" s="24"/>
      <c r="K28" s="52"/>
      <c r="L28" s="68"/>
      <c r="O28" s="17" t="s">
        <v>57</v>
      </c>
      <c r="P28" s="31"/>
      <c r="Q28" s="31"/>
      <c r="R28" s="27">
        <f t="shared" si="6"/>
        <v>0</v>
      </c>
      <c r="S28" s="27">
        <f t="shared" si="7"/>
        <v>0</v>
      </c>
      <c r="T28" s="31"/>
      <c r="U28" s="31"/>
      <c r="V28" s="31"/>
      <c r="W28" s="27">
        <f t="shared" si="8"/>
        <v>0</v>
      </c>
      <c r="X28" s="27">
        <f t="shared" si="9"/>
        <v>0</v>
      </c>
      <c r="Y28" s="31"/>
      <c r="Z28" s="31"/>
      <c r="AA28" s="24"/>
      <c r="AC28" s="16"/>
    </row>
    <row r="29" spans="2:42" x14ac:dyDescent="0.2">
      <c r="B29" s="17" t="s">
        <v>58</v>
      </c>
      <c r="C29" s="10"/>
      <c r="D29" s="24"/>
      <c r="E29" s="73"/>
      <c r="F29" s="16"/>
      <c r="H29" s="17" t="s">
        <v>58</v>
      </c>
      <c r="I29" s="10"/>
      <c r="J29" s="24"/>
      <c r="K29" s="67"/>
      <c r="L29" s="68"/>
      <c r="O29" s="17" t="s">
        <v>58</v>
      </c>
      <c r="P29" s="31"/>
      <c r="Q29" s="31"/>
      <c r="R29" s="27">
        <f t="shared" si="6"/>
        <v>0</v>
      </c>
      <c r="S29" s="27">
        <f t="shared" si="7"/>
        <v>0</v>
      </c>
      <c r="T29" s="31"/>
      <c r="U29" s="31"/>
      <c r="V29" s="31"/>
      <c r="W29" s="27">
        <f t="shared" si="8"/>
        <v>0</v>
      </c>
      <c r="X29" s="27">
        <f t="shared" si="9"/>
        <v>0</v>
      </c>
      <c r="Y29" s="31"/>
      <c r="Z29" s="31"/>
      <c r="AA29" s="24"/>
      <c r="AC29" s="16"/>
    </row>
    <row r="30" spans="2:42" x14ac:dyDescent="0.2">
      <c r="B30" s="95" t="s">
        <v>8</v>
      </c>
      <c r="C30" s="96"/>
      <c r="D30" s="24"/>
      <c r="E30" s="72"/>
      <c r="F30" s="16"/>
      <c r="H30" s="95" t="s">
        <v>8</v>
      </c>
      <c r="I30" s="96"/>
      <c r="J30" s="24"/>
      <c r="K30" s="67"/>
      <c r="L30" s="68"/>
      <c r="O30" s="18" t="s">
        <v>8</v>
      </c>
      <c r="P30" s="32"/>
      <c r="Q30" s="32"/>
      <c r="R30" s="32"/>
      <c r="S30" s="32"/>
      <c r="T30" s="32"/>
      <c r="U30" s="32"/>
      <c r="V30" s="32"/>
      <c r="W30" s="32"/>
      <c r="X30" s="32"/>
      <c r="Y30" s="32"/>
      <c r="Z30" s="32"/>
      <c r="AA30" s="24"/>
      <c r="AC30" s="16"/>
    </row>
    <row r="31" spans="2:42" x14ac:dyDescent="0.2">
      <c r="B31" s="19" t="s">
        <v>60</v>
      </c>
      <c r="C31" s="10" t="s">
        <v>18</v>
      </c>
      <c r="D31" s="24"/>
      <c r="E31" s="52"/>
      <c r="F31" s="16"/>
      <c r="H31" s="19" t="s">
        <v>60</v>
      </c>
      <c r="I31" s="10"/>
      <c r="J31" s="24"/>
      <c r="K31" s="67"/>
      <c r="L31" s="68"/>
      <c r="O31" s="19" t="s">
        <v>60</v>
      </c>
      <c r="P31" s="33"/>
      <c r="Q31" s="33"/>
      <c r="R31" s="33"/>
      <c r="S31" s="27">
        <f t="shared" ref="S31" si="16">IF($C31="07",1,IF($I31="07",1,IF($C63="07",1,IF($I63="07",1,0))))</f>
        <v>1</v>
      </c>
      <c r="T31" s="33"/>
      <c r="U31" s="33"/>
      <c r="V31" s="33"/>
      <c r="W31" s="27">
        <f t="shared" ref="W31" si="17">IF($C31="11",1,IF($I31="11",1,IF($C63="11",1,IF($I63="11",1,0))))</f>
        <v>0</v>
      </c>
      <c r="X31" s="33"/>
      <c r="Y31" s="33"/>
      <c r="Z31" s="33"/>
      <c r="AA31" s="24"/>
      <c r="AC31" s="16"/>
    </row>
    <row r="32" spans="2:42" ht="16" thickBot="1" x14ac:dyDescent="0.25">
      <c r="B32" s="20" t="s">
        <v>59</v>
      </c>
      <c r="C32" s="21" t="s">
        <v>14</v>
      </c>
      <c r="D32" s="25"/>
      <c r="E32" s="55"/>
      <c r="F32" s="23"/>
      <c r="H32" s="20" t="s">
        <v>59</v>
      </c>
      <c r="I32" s="21"/>
      <c r="J32" s="25"/>
      <c r="K32" s="69"/>
      <c r="L32" s="70"/>
      <c r="O32" s="20" t="s">
        <v>59</v>
      </c>
      <c r="P32" s="39">
        <f>IF($C32="00",1,IF($I32="00",1,IF($C64="00",1,IF($I64="00",1,0))))</f>
        <v>1</v>
      </c>
      <c r="Q32" s="39">
        <f>IF($C32="03",1,IF($I32="03",1,IF($C64="03",1,IF($I64="03",1,0))))</f>
        <v>0</v>
      </c>
      <c r="R32" s="34"/>
      <c r="S32" s="34"/>
      <c r="T32" s="39">
        <f>IF($C32="08",1,IF($I32="08",1,IF($C64="08",1,IF($I64="08",1,0))))</f>
        <v>0</v>
      </c>
      <c r="U32" s="39">
        <f>IF($C32="0A",1,IF($I32="0A",1,IF($C64="0A",1,IF($I64="0A",1,0))))</f>
        <v>0</v>
      </c>
      <c r="V32" s="39">
        <f>IF($C32="0C",1,IF($I32="0C",1,IF($C64="0C",1,IF($I64="0C",1,0))))</f>
        <v>0</v>
      </c>
      <c r="W32" s="34"/>
      <c r="X32" s="34"/>
      <c r="Y32" s="34"/>
      <c r="Z32" s="34"/>
      <c r="AA32" s="25"/>
      <c r="AB32" s="22"/>
      <c r="AC32" s="23"/>
    </row>
    <row r="33" spans="2:12" ht="9.75" customHeight="1" thickBot="1" x14ac:dyDescent="0.25"/>
    <row r="34" spans="2:12" x14ac:dyDescent="0.2">
      <c r="B34" s="97" t="s">
        <v>92</v>
      </c>
      <c r="C34" s="98"/>
      <c r="D34" s="98"/>
      <c r="E34" s="98"/>
      <c r="F34" s="99"/>
      <c r="H34" s="97" t="s">
        <v>93</v>
      </c>
      <c r="I34" s="98"/>
      <c r="J34" s="98"/>
      <c r="K34" s="98"/>
      <c r="L34" s="99"/>
    </row>
    <row r="35" spans="2:12" x14ac:dyDescent="0.2">
      <c r="B35" s="11" t="s">
        <v>10</v>
      </c>
      <c r="C35" s="9" t="s">
        <v>11</v>
      </c>
      <c r="D35" s="24"/>
      <c r="E35" s="9" t="s">
        <v>95</v>
      </c>
      <c r="F35" s="12" t="s">
        <v>67</v>
      </c>
      <c r="H35" s="11" t="s">
        <v>10</v>
      </c>
      <c r="I35" s="9" t="s">
        <v>11</v>
      </c>
      <c r="J35" s="24"/>
      <c r="K35" s="9" t="s">
        <v>95</v>
      </c>
      <c r="L35" s="12" t="s">
        <v>67</v>
      </c>
    </row>
    <row r="36" spans="2:12" x14ac:dyDescent="0.2">
      <c r="B36" s="13" t="s">
        <v>9</v>
      </c>
      <c r="C36" s="10"/>
      <c r="D36" s="24"/>
      <c r="E36" s="2" t="s">
        <v>61</v>
      </c>
      <c r="F36" s="14" t="s">
        <v>0</v>
      </c>
      <c r="H36" s="13" t="s">
        <v>9</v>
      </c>
      <c r="I36" s="10"/>
      <c r="J36" s="24"/>
      <c r="K36" s="2" t="s">
        <v>61</v>
      </c>
      <c r="L36" s="14"/>
    </row>
    <row r="37" spans="2:12" x14ac:dyDescent="0.2">
      <c r="B37" s="15" t="s">
        <v>5</v>
      </c>
      <c r="C37" s="10"/>
      <c r="D37" s="24"/>
      <c r="E37" s="2" t="s">
        <v>64</v>
      </c>
      <c r="F37" s="14"/>
      <c r="H37" s="15" t="s">
        <v>5</v>
      </c>
      <c r="I37" s="10"/>
      <c r="J37" s="24"/>
      <c r="K37" s="2" t="s">
        <v>64</v>
      </c>
      <c r="L37" s="14"/>
    </row>
    <row r="38" spans="2:12" x14ac:dyDescent="0.2">
      <c r="B38" s="15" t="s">
        <v>4</v>
      </c>
      <c r="C38" s="71"/>
      <c r="D38" s="24"/>
      <c r="E38" s="24"/>
      <c r="F38" s="50"/>
      <c r="H38" s="15" t="s">
        <v>4</v>
      </c>
      <c r="I38" s="71"/>
      <c r="J38" s="24"/>
      <c r="K38" s="24"/>
      <c r="L38" s="50"/>
    </row>
    <row r="39" spans="2:12" x14ac:dyDescent="0.2">
      <c r="B39" s="15" t="s">
        <v>6</v>
      </c>
      <c r="C39" s="10"/>
      <c r="D39" s="24"/>
      <c r="E39" s="7" t="s">
        <v>62</v>
      </c>
      <c r="F39" s="14" t="s">
        <v>0</v>
      </c>
      <c r="H39" s="15" t="s">
        <v>6</v>
      </c>
      <c r="I39" s="10"/>
      <c r="J39" s="24"/>
      <c r="K39" s="7" t="s">
        <v>62</v>
      </c>
      <c r="L39" s="14"/>
    </row>
    <row r="40" spans="2:12" x14ac:dyDescent="0.2">
      <c r="B40" s="15" t="s">
        <v>7</v>
      </c>
      <c r="C40" s="10"/>
      <c r="D40" s="24"/>
      <c r="E40" s="7" t="s">
        <v>66</v>
      </c>
      <c r="F40" s="66"/>
      <c r="H40" s="15" t="s">
        <v>7</v>
      </c>
      <c r="I40" s="10"/>
      <c r="J40" s="24"/>
      <c r="K40" s="7" t="s">
        <v>66</v>
      </c>
      <c r="L40" s="14"/>
    </row>
    <row r="41" spans="2:12" x14ac:dyDescent="0.2">
      <c r="B41" s="15" t="s">
        <v>38</v>
      </c>
      <c r="C41" s="65"/>
      <c r="D41" s="24"/>
      <c r="E41" s="47" t="str">
        <f>IF(_xlfn.BITAND(64,HEX2DEC(LEFT(PINUP3,2))),"Uses Local PIN","Doesn't use Local PIN")</f>
        <v>Doesn't use Local PIN</v>
      </c>
      <c r="F41" s="50"/>
      <c r="H41" s="15" t="s">
        <v>38</v>
      </c>
      <c r="I41" s="65"/>
      <c r="J41" s="24"/>
      <c r="K41" s="47" t="str">
        <f>IF(_xlfn.BITAND(64,HEX2DEC(LEFT(PINUP4,2))),"Uses Local PIN","Doesn't use Local PIN")</f>
        <v>Doesn't use Local PIN</v>
      </c>
      <c r="L41" s="50"/>
    </row>
    <row r="42" spans="2:12" x14ac:dyDescent="0.2">
      <c r="B42" s="17" t="s">
        <v>39</v>
      </c>
      <c r="C42" s="71"/>
      <c r="D42" s="24"/>
      <c r="E42" s="47" t="str">
        <f>IF(_xlfn.BITAND(32,HEX2DEC(LEFT(PINUP3,2))),"Uses Global PIN","Does not use Global PIN")</f>
        <v>Does not use Global PIN</v>
      </c>
      <c r="F42" s="50"/>
      <c r="H42" s="17" t="s">
        <v>39</v>
      </c>
      <c r="I42" s="10"/>
      <c r="J42" s="24"/>
      <c r="K42" s="47" t="str">
        <f>IF(_xlfn.BITAND(32,HEX2DEC(LEFT(PINUP4,2))),"Uses Global PIN","Does not use Global PIN")</f>
        <v>Does not use Global PIN</v>
      </c>
      <c r="L42" s="50"/>
    </row>
    <row r="43" spans="2:12" x14ac:dyDescent="0.2">
      <c r="B43" s="17" t="s">
        <v>40</v>
      </c>
      <c r="C43" s="71"/>
      <c r="D43" s="24"/>
      <c r="E43" s="47" t="str">
        <f>IF(RIGHT(PINUP3,2)="10","Local PIN Preferred",IF(RIGHT(PINUP3,2)="20","Global PIN Preferred",IF(RIGHT(PINUP3,2)="00","Local PIN only","Invalid PIN Usage Policy byte 2")))</f>
        <v>Invalid PIN Usage Policy byte 2</v>
      </c>
      <c r="F43" s="50"/>
      <c r="H43" s="17" t="s">
        <v>40</v>
      </c>
      <c r="I43" s="10"/>
      <c r="J43" s="24"/>
      <c r="K43" s="47" t="str">
        <f>IF(RIGHT(PINUP4,2)="10","Local PIN Preferred",IF(RIGHT(PINUP4,2)="20","Global PIN Preferred",IF(RIGHT(PINUP4,2)="00","Local PIN only","Invalid PIN Usage Policy byte 2")))</f>
        <v>Invalid PIN Usage Policy byte 2</v>
      </c>
      <c r="L43" s="50"/>
    </row>
    <row r="44" spans="2:12" x14ac:dyDescent="0.2">
      <c r="B44" s="17" t="s">
        <v>41</v>
      </c>
      <c r="C44" s="71"/>
      <c r="D44" s="24"/>
      <c r="E44" s="47" t="str">
        <f>IF(_xlfn.BITAND(16,HEX2DEC(LEFT(PINUP3,2))),"Uses OCC","Does not use OCC")</f>
        <v>Does not use OCC</v>
      </c>
      <c r="F44" s="50"/>
      <c r="H44" s="17" t="s">
        <v>41</v>
      </c>
      <c r="I44" s="10"/>
      <c r="J44" s="24"/>
      <c r="K44" s="47" t="str">
        <f>IF(_xlfn.BITAND(16,HEX2DEC(LEFT(PINUP4,2))),"Uses OCC","Does not use OCC")</f>
        <v>Does not use OCC</v>
      </c>
      <c r="L44" s="50"/>
    </row>
    <row r="45" spans="2:12" x14ac:dyDescent="0.2">
      <c r="B45" s="17" t="s">
        <v>42</v>
      </c>
      <c r="C45" s="71"/>
      <c r="D45" s="24"/>
      <c r="E45" s="47" t="str">
        <f>IF(_xlfn.BITAND(8,HEX2DEC(LEFT(PINUP3,2))),"VCI implemented","VCI not implemented")</f>
        <v>VCI not implemented</v>
      </c>
      <c r="F45" s="50"/>
      <c r="H45" s="17" t="s">
        <v>42</v>
      </c>
      <c r="I45" s="10"/>
      <c r="J45" s="24"/>
      <c r="K45" s="47" t="str">
        <f>IF(_xlfn.BITAND(8,HEX2DEC(LEFT(PINUP4,2))),"VCI implemented","VCI not implemented")</f>
        <v>VCI not implemented</v>
      </c>
      <c r="L45" s="50"/>
    </row>
    <row r="46" spans="2:12" x14ac:dyDescent="0.2">
      <c r="B46" s="17" t="s">
        <v>43</v>
      </c>
      <c r="C46" s="71"/>
      <c r="D46" s="24"/>
      <c r="E46" s="47" t="str">
        <f>IF(E45="VCI implemented",IF(_xlfn.BITAND(4,HEX2DEC(LEFT(PINUP3,2))),"Doesn't require pairing code","Requires pairing code"),"")</f>
        <v/>
      </c>
      <c r="F46" s="50"/>
      <c r="H46" s="17" t="s">
        <v>43</v>
      </c>
      <c r="I46" s="10"/>
      <c r="J46" s="24"/>
      <c r="K46" s="47" t="str">
        <f>IF(K45="VCI implemented",IF(_xlfn.BITAND(4,HEX2DEC(LEFT(PINUP4,2))),"Doesn't require pairing code","Requires pairing code"),"")</f>
        <v/>
      </c>
      <c r="L46" s="50"/>
    </row>
    <row r="47" spans="2:12" x14ac:dyDescent="0.2">
      <c r="B47" s="17" t="s">
        <v>44</v>
      </c>
      <c r="C47" s="71"/>
      <c r="D47" s="24"/>
      <c r="E47" s="24"/>
      <c r="F47" s="50"/>
      <c r="H47" s="17" t="s">
        <v>44</v>
      </c>
      <c r="I47" s="71"/>
      <c r="J47" s="24"/>
      <c r="K47" s="24"/>
      <c r="L47" s="50"/>
    </row>
    <row r="48" spans="2:12" x14ac:dyDescent="0.2">
      <c r="B48" s="17" t="s">
        <v>45</v>
      </c>
      <c r="C48" s="71"/>
      <c r="D48" s="24"/>
      <c r="E48" s="24"/>
      <c r="F48" s="50"/>
      <c r="H48" s="17" t="s">
        <v>45</v>
      </c>
      <c r="I48" s="71"/>
      <c r="J48" s="24"/>
      <c r="K48" s="24"/>
      <c r="L48" s="50"/>
    </row>
    <row r="49" spans="2:12" x14ac:dyDescent="0.2">
      <c r="B49" s="17" t="s">
        <v>46</v>
      </c>
      <c r="C49" s="71"/>
      <c r="D49" s="24"/>
      <c r="E49" s="7" t="s">
        <v>65</v>
      </c>
      <c r="F49" s="14"/>
      <c r="H49" s="17" t="s">
        <v>46</v>
      </c>
      <c r="I49" s="71"/>
      <c r="J49" s="24"/>
      <c r="K49" s="7" t="s">
        <v>65</v>
      </c>
      <c r="L49" s="14"/>
    </row>
    <row r="50" spans="2:12" x14ac:dyDescent="0.2">
      <c r="B50" s="17" t="s">
        <v>47</v>
      </c>
      <c r="C50" s="71"/>
      <c r="D50" s="24"/>
      <c r="E50" s="2" t="s">
        <v>72</v>
      </c>
      <c r="F50" s="14"/>
      <c r="H50" s="17" t="s">
        <v>47</v>
      </c>
      <c r="I50" s="71"/>
      <c r="J50" s="24"/>
      <c r="K50" s="2" t="s">
        <v>72</v>
      </c>
      <c r="L50" s="14"/>
    </row>
    <row r="51" spans="2:12" x14ac:dyDescent="0.2">
      <c r="B51" s="17" t="s">
        <v>48</v>
      </c>
      <c r="C51" s="71"/>
      <c r="D51" s="24"/>
      <c r="E51" s="2" t="s">
        <v>71</v>
      </c>
      <c r="F51" s="14"/>
      <c r="H51" s="17" t="s">
        <v>48</v>
      </c>
      <c r="I51" s="71"/>
      <c r="J51" s="24"/>
      <c r="K51" s="2" t="s">
        <v>71</v>
      </c>
      <c r="L51" s="14"/>
    </row>
    <row r="52" spans="2:12" x14ac:dyDescent="0.2">
      <c r="B52" s="17" t="s">
        <v>49</v>
      </c>
      <c r="C52" s="71"/>
      <c r="D52" s="24"/>
      <c r="E52" s="24"/>
      <c r="F52" s="50"/>
      <c r="H52" s="17" t="s">
        <v>49</v>
      </c>
      <c r="I52" s="71"/>
      <c r="J52" s="24"/>
      <c r="K52" s="24"/>
      <c r="L52" s="50"/>
    </row>
    <row r="53" spans="2:12" x14ac:dyDescent="0.2">
      <c r="B53" s="17" t="s">
        <v>50</v>
      </c>
      <c r="C53" s="71"/>
      <c r="D53" s="24"/>
      <c r="E53" s="7" t="s">
        <v>63</v>
      </c>
      <c r="F53" s="14"/>
      <c r="H53" s="17" t="s">
        <v>50</v>
      </c>
      <c r="I53" s="71"/>
      <c r="J53" s="24"/>
      <c r="K53" s="7" t="s">
        <v>63</v>
      </c>
      <c r="L53" s="14"/>
    </row>
    <row r="54" spans="2:12" x14ac:dyDescent="0.2">
      <c r="B54" s="17" t="s">
        <v>51</v>
      </c>
      <c r="C54" s="71"/>
      <c r="D54" s="24"/>
      <c r="E54" s="2" t="s">
        <v>68</v>
      </c>
      <c r="F54" s="14"/>
      <c r="H54" s="17" t="s">
        <v>51</v>
      </c>
      <c r="I54" s="71"/>
      <c r="J54" s="24"/>
      <c r="K54" s="2" t="s">
        <v>68</v>
      </c>
      <c r="L54" s="14"/>
    </row>
    <row r="55" spans="2:12" x14ac:dyDescent="0.2">
      <c r="B55" s="17" t="s">
        <v>52</v>
      </c>
      <c r="C55" s="71"/>
      <c r="D55" s="24"/>
      <c r="E55" s="2" t="s">
        <v>69</v>
      </c>
      <c r="F55" s="14"/>
      <c r="H55" s="17" t="s">
        <v>52</v>
      </c>
      <c r="I55" s="71"/>
      <c r="J55" s="24"/>
      <c r="K55" s="2" t="s">
        <v>69</v>
      </c>
      <c r="L55" s="14"/>
    </row>
    <row r="56" spans="2:12" x14ac:dyDescent="0.2">
      <c r="B56" s="17" t="s">
        <v>53</v>
      </c>
      <c r="C56" s="71"/>
      <c r="D56" s="24"/>
      <c r="E56" s="24"/>
      <c r="F56" s="50"/>
      <c r="H56" s="17" t="s">
        <v>53</v>
      </c>
      <c r="I56" s="71"/>
      <c r="J56" s="24"/>
      <c r="K56" s="24"/>
      <c r="L56" s="50"/>
    </row>
    <row r="57" spans="2:12" x14ac:dyDescent="0.2">
      <c r="B57" s="17" t="s">
        <v>54</v>
      </c>
      <c r="C57" s="71"/>
      <c r="D57" s="24"/>
      <c r="E57" s="24" t="s">
        <v>94</v>
      </c>
      <c r="F57" s="50"/>
      <c r="H57" s="17" t="s">
        <v>54</v>
      </c>
      <c r="I57" s="71"/>
      <c r="J57" s="24"/>
      <c r="K57" s="24" t="s">
        <v>94</v>
      </c>
      <c r="L57" s="50"/>
    </row>
    <row r="58" spans="2:12" x14ac:dyDescent="0.2">
      <c r="B58" s="17" t="s">
        <v>55</v>
      </c>
      <c r="C58" s="71"/>
      <c r="D58" s="24"/>
      <c r="E58" s="51"/>
      <c r="F58" s="54"/>
      <c r="H58" s="17" t="s">
        <v>55</v>
      </c>
      <c r="I58" s="71"/>
      <c r="J58" s="24"/>
      <c r="K58" s="51"/>
      <c r="L58" s="54"/>
    </row>
    <row r="59" spans="2:12" x14ac:dyDescent="0.2">
      <c r="B59" s="17" t="s">
        <v>56</v>
      </c>
      <c r="C59" s="71"/>
      <c r="D59" s="24"/>
      <c r="E59" s="67"/>
      <c r="F59" s="68"/>
      <c r="H59" s="17" t="s">
        <v>56</v>
      </c>
      <c r="I59" s="71"/>
      <c r="J59" s="24"/>
      <c r="K59" s="67"/>
      <c r="L59" s="68"/>
    </row>
    <row r="60" spans="2:12" x14ac:dyDescent="0.2">
      <c r="B60" s="17" t="s">
        <v>57</v>
      </c>
      <c r="C60" s="71"/>
      <c r="D60" s="24"/>
      <c r="E60" s="67"/>
      <c r="F60" s="68"/>
      <c r="H60" s="17" t="s">
        <v>57</v>
      </c>
      <c r="I60" s="71"/>
      <c r="J60" s="24"/>
      <c r="K60" s="67"/>
      <c r="L60" s="68"/>
    </row>
    <row r="61" spans="2:12" x14ac:dyDescent="0.2">
      <c r="B61" s="17" t="s">
        <v>58</v>
      </c>
      <c r="C61" s="71"/>
      <c r="D61" s="24"/>
      <c r="E61" s="67"/>
      <c r="F61" s="68"/>
      <c r="H61" s="17" t="s">
        <v>58</v>
      </c>
      <c r="I61" s="71"/>
      <c r="J61" s="24"/>
      <c r="K61" s="67"/>
      <c r="L61" s="68"/>
    </row>
    <row r="62" spans="2:12" x14ac:dyDescent="0.2">
      <c r="B62" s="95" t="s">
        <v>8</v>
      </c>
      <c r="C62" s="96"/>
      <c r="D62" s="24"/>
      <c r="E62" s="67"/>
      <c r="F62" s="68"/>
      <c r="H62" s="95" t="s">
        <v>8</v>
      </c>
      <c r="I62" s="96"/>
      <c r="J62" s="24"/>
      <c r="K62" s="67"/>
      <c r="L62" s="68"/>
    </row>
    <row r="63" spans="2:12" x14ac:dyDescent="0.2">
      <c r="B63" s="19" t="s">
        <v>60</v>
      </c>
      <c r="C63" s="10"/>
      <c r="D63" s="24"/>
      <c r="E63" s="67"/>
      <c r="F63" s="68"/>
      <c r="H63" s="19" t="s">
        <v>60</v>
      </c>
      <c r="I63" s="10"/>
      <c r="J63" s="24"/>
      <c r="K63" s="67"/>
      <c r="L63" s="68"/>
    </row>
    <row r="64" spans="2:12" ht="16" thickBot="1" x14ac:dyDescent="0.25">
      <c r="B64" s="20" t="s">
        <v>59</v>
      </c>
      <c r="C64" s="21"/>
      <c r="D64" s="25"/>
      <c r="E64" s="69"/>
      <c r="F64" s="70"/>
      <c r="H64" s="20" t="s">
        <v>59</v>
      </c>
      <c r="I64" s="21"/>
      <c r="J64" s="25"/>
      <c r="K64" s="69"/>
      <c r="L64" s="70"/>
    </row>
    <row r="65" ht="9" customHeight="1" x14ac:dyDescent="0.2"/>
  </sheetData>
  <mergeCells count="10">
    <mergeCell ref="AS4:BA9"/>
    <mergeCell ref="B62:C62"/>
    <mergeCell ref="H62:I62"/>
    <mergeCell ref="O2:AC2"/>
    <mergeCell ref="B2:F2"/>
    <mergeCell ref="H2:L2"/>
    <mergeCell ref="B34:F34"/>
    <mergeCell ref="H34:L34"/>
    <mergeCell ref="B30:C30"/>
    <mergeCell ref="H30:I30"/>
  </mergeCells>
  <dataValidations count="10">
    <dataValidation type="list" allowBlank="1" showInputMessage="1" showErrorMessage="1" sqref="F7 F4:F5 F21 F19 F17 L7 L21 L4:L5 L19 L17 F39 F53 F36:F37 F51 F49 L39 L53 L36:L37 L51 L49" xr:uid="{00000000-0002-0000-0100-000000000000}">
      <formula1>YesNo</formula1>
    </dataValidation>
    <dataValidation type="list" allowBlank="1" showInputMessage="1" showErrorMessage="1" sqref="F18 L18 F50 L50" xr:uid="{00000000-0002-0000-0100-000001000000}">
      <formula1>CryptoSuite</formula1>
    </dataValidation>
    <dataValidation type="list" allowBlank="1" showInputMessage="1" showErrorMessage="1" sqref="C32 I32 C64 I64" xr:uid="{00000000-0002-0000-0100-000002000000}">
      <formula1>Key9ESDVList</formula1>
    </dataValidation>
    <dataValidation type="list" allowBlank="1" showInputMessage="1" showErrorMessage="1" sqref="C31 I63 C63" xr:uid="{00000000-0002-0000-0100-000003000000}">
      <formula1>Key9EADVList</formula1>
    </dataValidation>
    <dataValidation type="list" allowBlank="1" showInputMessage="1" showErrorMessage="1" sqref="C5 I5 C37 I37" xr:uid="{00000000-0002-0000-0100-000004000000}">
      <formula1>Key9ADVList</formula1>
    </dataValidation>
    <dataValidation type="list" allowBlank="1" showInputMessage="1" showErrorMessage="1" sqref="C4 I4 C36 I36" xr:uid="{00000000-0002-0000-0100-000005000000}">
      <formula1>Key04DVList</formula1>
    </dataValidation>
    <dataValidation type="list" allowBlank="1" showInputMessage="1" showErrorMessage="1" sqref="C6 I6 C38 I38" xr:uid="{00000000-0002-0000-0100-000006000000}">
      <formula1>Key9BDVList</formula1>
    </dataValidation>
    <dataValidation type="list" allowBlank="1" showInputMessage="1" showErrorMessage="1" sqref="C7 I7 C39 I39" xr:uid="{00000000-0002-0000-0100-000007000000}">
      <formula1>Key9CDVList</formula1>
    </dataValidation>
    <dataValidation type="list" allowBlank="1" showInputMessage="1" showErrorMessage="1" sqref="C8 I8 C40 I40" xr:uid="{00000000-0002-0000-0100-000008000000}">
      <formula1>Key9DDVList</formula1>
    </dataValidation>
    <dataValidation type="list" allowBlank="1" showInputMessage="1" showErrorMessage="1" sqref="C10:C29 I31 C42:C61 I10:I29 I42:I61" xr:uid="{00000000-0002-0000-0100-000009000000}">
      <formula1>KeyRKMDVList</formula1>
    </dataValidation>
  </dataValidations>
  <pageMargins left="0.7" right="0.7" top="0.75" bottom="0.75" header="0.3" footer="0.3"/>
  <pageSetup scale="70" orientation="portrait" r:id="rId1"/>
  <headerFooter>
    <oddHeader>&amp;C&amp;"-,Italic"&lt;vendor&gt; &lt;product name&gt;</oddHeader>
    <oddFooter>&amp;L&amp;"-,Italic"UL Verification Services NPIVP Card Command Test Report&amp;R&amp;"-,Italic"Card Configurations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32"/>
  <sheetViews>
    <sheetView zoomScale="85" zoomScaleNormal="85" workbookViewId="0">
      <selection activeCell="N32" sqref="N32:O32"/>
    </sheetView>
  </sheetViews>
  <sheetFormatPr baseColWidth="10" defaultColWidth="8.83203125" defaultRowHeight="15" x14ac:dyDescent="0.2"/>
  <cols>
    <col min="1" max="1" width="1.5" customWidth="1"/>
    <col min="2" max="2" width="9.5" customWidth="1"/>
    <col min="3" max="3" width="31" customWidth="1"/>
    <col min="4" max="4" width="5.5" customWidth="1"/>
    <col min="5" max="6" width="3.6640625" bestFit="1" customWidth="1"/>
    <col min="7" max="7" width="3.6640625" customWidth="1"/>
    <col min="8" max="11" width="3.6640625" bestFit="1" customWidth="1"/>
    <col min="12" max="13" width="3.6640625" hidden="1" customWidth="1"/>
    <col min="14" max="15" width="3.6640625" customWidth="1"/>
    <col min="16" max="16" width="2.5" customWidth="1"/>
    <col min="17" max="17" width="34.33203125" customWidth="1"/>
    <col min="18" max="19" width="3" bestFit="1" customWidth="1"/>
    <col min="20" max="20" width="3.6640625" customWidth="1"/>
    <col min="21" max="21" width="3.5" customWidth="1"/>
    <col min="22" max="22" width="4" customWidth="1"/>
    <col min="23" max="23" width="6.83203125" customWidth="1"/>
    <col min="24" max="24" width="4.1640625" bestFit="1" customWidth="1"/>
    <col min="25" max="25" width="4.1640625" hidden="1" customWidth="1"/>
    <col min="26" max="26" width="4.1640625" bestFit="1" customWidth="1"/>
    <col min="27" max="27" width="3" bestFit="1" customWidth="1"/>
    <col min="28" max="28" width="5.83203125" bestFit="1" customWidth="1"/>
    <col min="29" max="29" width="4.6640625" bestFit="1" customWidth="1"/>
    <col min="30" max="30" width="7.83203125" bestFit="1" customWidth="1"/>
    <col min="31" max="31" width="3" bestFit="1" customWidth="1"/>
    <col min="35" max="35" width="2.5" customWidth="1"/>
    <col min="36" max="36" width="4.6640625" bestFit="1" customWidth="1"/>
    <col min="37" max="37" width="4.1640625" bestFit="1" customWidth="1"/>
  </cols>
  <sheetData>
    <row r="1" spans="2:25" ht="10.5" customHeight="1" thickBot="1" x14ac:dyDescent="0.25"/>
    <row r="2" spans="2:25" x14ac:dyDescent="0.2">
      <c r="B2" s="92" t="s">
        <v>117</v>
      </c>
      <c r="C2" s="137" t="s">
        <v>118</v>
      </c>
      <c r="D2" s="138"/>
      <c r="E2" s="138"/>
      <c r="F2" s="138"/>
      <c r="G2" s="139"/>
      <c r="H2" s="135" t="s">
        <v>116</v>
      </c>
      <c r="I2" s="135"/>
      <c r="J2" s="135"/>
      <c r="K2" s="135"/>
      <c r="L2" s="135"/>
      <c r="M2" s="135"/>
      <c r="N2" s="135"/>
      <c r="O2" s="135"/>
      <c r="P2" s="135"/>
      <c r="Q2" s="93" t="s">
        <v>119</v>
      </c>
    </row>
    <row r="3" spans="2:25" ht="30" customHeight="1" thickBot="1" x14ac:dyDescent="0.25">
      <c r="B3" s="49"/>
      <c r="C3" s="140"/>
      <c r="D3" s="141"/>
      <c r="E3" s="141"/>
      <c r="F3" s="141"/>
      <c r="G3" s="142"/>
      <c r="H3" s="136"/>
      <c r="I3" s="136"/>
      <c r="J3" s="136"/>
      <c r="K3" s="136"/>
      <c r="L3" s="136"/>
      <c r="M3" s="136"/>
      <c r="N3" s="136"/>
      <c r="O3" s="136"/>
      <c r="P3" s="136"/>
      <c r="Q3" s="89"/>
    </row>
    <row r="4" spans="2:25" ht="9.75" customHeight="1" thickBot="1" x14ac:dyDescent="0.25"/>
    <row r="5" spans="2:25" x14ac:dyDescent="0.2">
      <c r="B5" s="121" t="s">
        <v>98</v>
      </c>
      <c r="C5" s="122"/>
      <c r="D5" s="122"/>
      <c r="E5" s="122"/>
      <c r="F5" s="122"/>
      <c r="G5" s="122"/>
      <c r="H5" s="122"/>
      <c r="I5" s="122"/>
      <c r="J5" s="122"/>
      <c r="K5" s="122"/>
      <c r="L5" s="122"/>
      <c r="M5" s="122"/>
      <c r="N5" s="122"/>
      <c r="O5" s="122"/>
      <c r="P5" s="122"/>
      <c r="Q5" s="122"/>
      <c r="R5" s="122"/>
      <c r="S5" s="122"/>
      <c r="T5" s="122"/>
      <c r="U5" s="122"/>
      <c r="V5" s="122"/>
      <c r="W5" s="123"/>
    </row>
    <row r="6" spans="2:25" ht="117.75" customHeight="1" x14ac:dyDescent="0.2">
      <c r="B6" s="151" t="s">
        <v>148</v>
      </c>
      <c r="C6" s="152"/>
      <c r="D6" s="63" t="s">
        <v>131</v>
      </c>
      <c r="E6" s="63" t="s">
        <v>133</v>
      </c>
      <c r="F6" s="64" t="s">
        <v>132</v>
      </c>
      <c r="G6" s="63" t="s">
        <v>134</v>
      </c>
      <c r="H6" s="63" t="s">
        <v>135</v>
      </c>
      <c r="I6" s="63" t="s">
        <v>136</v>
      </c>
      <c r="J6" s="63" t="s">
        <v>192</v>
      </c>
      <c r="K6" s="63" t="s">
        <v>137</v>
      </c>
      <c r="L6" s="63" t="s">
        <v>145</v>
      </c>
      <c r="M6" s="63" t="s">
        <v>146</v>
      </c>
      <c r="N6" s="63" t="s">
        <v>34</v>
      </c>
      <c r="O6" s="63" t="s">
        <v>35</v>
      </c>
      <c r="P6" s="143"/>
      <c r="Q6" s="61"/>
      <c r="R6" s="61"/>
      <c r="S6" s="61"/>
      <c r="T6" s="61"/>
      <c r="U6" s="61"/>
      <c r="V6" s="61"/>
      <c r="W6" s="62"/>
    </row>
    <row r="7" spans="2:25" x14ac:dyDescent="0.2">
      <c r="B7" s="109" t="s">
        <v>147</v>
      </c>
      <c r="C7" s="127"/>
      <c r="D7" s="28" t="s">
        <v>97</v>
      </c>
      <c r="E7" s="28" t="s">
        <v>16</v>
      </c>
      <c r="F7" s="28" t="s">
        <v>18</v>
      </c>
      <c r="G7" s="28" t="s">
        <v>19</v>
      </c>
      <c r="H7" s="28" t="s">
        <v>17</v>
      </c>
      <c r="I7" s="28" t="s">
        <v>20</v>
      </c>
      <c r="J7" s="28" t="s">
        <v>21</v>
      </c>
      <c r="K7" s="28" t="s">
        <v>22</v>
      </c>
      <c r="L7" s="28" t="s">
        <v>23</v>
      </c>
      <c r="M7" s="28" t="s">
        <v>24</v>
      </c>
      <c r="N7" s="28" t="s">
        <v>23</v>
      </c>
      <c r="O7" s="28" t="s">
        <v>24</v>
      </c>
      <c r="P7" s="144"/>
      <c r="Q7" s="130" t="s">
        <v>105</v>
      </c>
      <c r="R7" s="130"/>
      <c r="S7" s="130"/>
      <c r="T7" s="130"/>
      <c r="U7" s="130"/>
      <c r="V7" s="130"/>
      <c r="W7" s="131"/>
    </row>
    <row r="8" spans="2:25" x14ac:dyDescent="0.2">
      <c r="B8" s="128" t="s">
        <v>138</v>
      </c>
      <c r="C8" s="129"/>
      <c r="D8" s="40"/>
      <c r="E8" s="40"/>
      <c r="F8" s="40"/>
      <c r="G8" s="40"/>
      <c r="H8" s="40"/>
      <c r="I8" s="40"/>
      <c r="J8" s="40"/>
      <c r="K8" s="40"/>
      <c r="L8" s="40"/>
      <c r="M8" s="40"/>
      <c r="N8" s="38"/>
      <c r="O8" s="38"/>
      <c r="P8" s="144"/>
      <c r="Q8" s="113" t="s">
        <v>74</v>
      </c>
      <c r="R8" s="113"/>
      <c r="S8" s="113"/>
      <c r="T8" s="113"/>
      <c r="U8" s="113"/>
      <c r="V8" s="113"/>
      <c r="W8" s="44"/>
      <c r="Y8" s="37" t="s">
        <v>75</v>
      </c>
    </row>
    <row r="9" spans="2:25" x14ac:dyDescent="0.2">
      <c r="B9" s="109" t="s">
        <v>139</v>
      </c>
      <c r="C9" s="127"/>
      <c r="D9" s="41"/>
      <c r="E9" s="41"/>
      <c r="F9" s="38"/>
      <c r="G9" s="41"/>
      <c r="H9" s="41"/>
      <c r="I9" s="41"/>
      <c r="J9" s="38"/>
      <c r="K9" s="41"/>
      <c r="L9" s="41"/>
      <c r="M9" s="41"/>
      <c r="N9" s="41"/>
      <c r="O9" s="41"/>
      <c r="P9" s="144"/>
      <c r="Q9" s="113" t="s">
        <v>76</v>
      </c>
      <c r="R9" s="113"/>
      <c r="S9" s="113"/>
      <c r="T9" s="113"/>
      <c r="U9" s="113"/>
      <c r="V9" s="113"/>
      <c r="W9" s="44"/>
      <c r="Y9" s="37" t="s">
        <v>99</v>
      </c>
    </row>
    <row r="10" spans="2:25" x14ac:dyDescent="0.2">
      <c r="B10" s="109" t="s">
        <v>140</v>
      </c>
      <c r="C10" s="127"/>
      <c r="D10" s="38"/>
      <c r="E10" s="41"/>
      <c r="F10" s="41"/>
      <c r="G10" s="38"/>
      <c r="H10" s="38"/>
      <c r="I10" s="38"/>
      <c r="J10" s="41"/>
      <c r="K10" s="41"/>
      <c r="L10" s="41"/>
      <c r="M10" s="41"/>
      <c r="N10" s="41"/>
      <c r="O10" s="41"/>
      <c r="P10" s="144"/>
      <c r="Q10" s="113" t="s">
        <v>77</v>
      </c>
      <c r="R10" s="113"/>
      <c r="S10" s="113"/>
      <c r="T10" s="113"/>
      <c r="U10" s="113"/>
      <c r="V10" s="113"/>
      <c r="W10" s="44"/>
    </row>
    <row r="11" spans="2:25" x14ac:dyDescent="0.2">
      <c r="B11" s="109" t="s">
        <v>141</v>
      </c>
      <c r="C11" s="127"/>
      <c r="D11" s="41"/>
      <c r="E11" s="41"/>
      <c r="F11" s="38"/>
      <c r="G11" s="41"/>
      <c r="H11" s="41"/>
      <c r="I11" s="41"/>
      <c r="J11" s="38"/>
      <c r="K11" s="38"/>
      <c r="L11" s="41"/>
      <c r="M11" s="41"/>
      <c r="N11" s="41"/>
      <c r="O11" s="41"/>
      <c r="P11" s="144"/>
      <c r="Q11" s="113" t="s">
        <v>78</v>
      </c>
      <c r="R11" s="113"/>
      <c r="S11" s="113"/>
      <c r="T11" s="113"/>
      <c r="U11" s="113"/>
      <c r="V11" s="113"/>
      <c r="W11" s="44"/>
    </row>
    <row r="12" spans="2:25" x14ac:dyDescent="0.2">
      <c r="B12" s="109" t="s">
        <v>142</v>
      </c>
      <c r="C12" s="127"/>
      <c r="D12" s="41"/>
      <c r="E12" s="41"/>
      <c r="F12" s="38"/>
      <c r="G12" s="41"/>
      <c r="H12" s="41"/>
      <c r="I12" s="41"/>
      <c r="J12" s="38"/>
      <c r="K12" s="38"/>
      <c r="L12" s="41"/>
      <c r="M12" s="41"/>
      <c r="N12" s="41"/>
      <c r="O12" s="41"/>
      <c r="P12" s="144"/>
      <c r="Q12" s="113" t="s">
        <v>89</v>
      </c>
      <c r="R12" s="113"/>
      <c r="S12" s="113"/>
      <c r="T12" s="113"/>
      <c r="U12" s="113"/>
      <c r="V12" s="113"/>
      <c r="W12" s="44"/>
      <c r="X12" s="43"/>
    </row>
    <row r="13" spans="2:25" x14ac:dyDescent="0.2">
      <c r="B13" s="109" t="s">
        <v>143</v>
      </c>
      <c r="C13" s="127"/>
      <c r="D13" s="41"/>
      <c r="E13" s="38"/>
      <c r="F13" s="38"/>
      <c r="G13" s="41"/>
      <c r="H13" s="41"/>
      <c r="I13" s="41"/>
      <c r="J13" s="38"/>
      <c r="K13" s="38"/>
      <c r="L13" s="41"/>
      <c r="M13" s="41"/>
      <c r="N13" s="41"/>
      <c r="O13" s="41"/>
      <c r="P13" s="144"/>
      <c r="Q13" s="113" t="s">
        <v>90</v>
      </c>
      <c r="R13" s="113"/>
      <c r="S13" s="113"/>
      <c r="T13" s="113"/>
      <c r="U13" s="113"/>
      <c r="V13" s="113"/>
      <c r="W13" s="44"/>
      <c r="X13" s="43"/>
    </row>
    <row r="14" spans="2:25" x14ac:dyDescent="0.2">
      <c r="B14" s="109" t="s">
        <v>144</v>
      </c>
      <c r="C14" s="127"/>
      <c r="D14" s="41"/>
      <c r="E14" s="41"/>
      <c r="F14" s="41"/>
      <c r="G14" s="41"/>
      <c r="H14" s="41"/>
      <c r="I14" s="41"/>
      <c r="J14" s="41"/>
      <c r="K14" s="41"/>
      <c r="L14" s="41"/>
      <c r="M14" s="41"/>
      <c r="N14" s="41"/>
      <c r="O14" s="41"/>
      <c r="P14" s="144"/>
      <c r="Q14" s="113" t="s">
        <v>79</v>
      </c>
      <c r="R14" s="113"/>
      <c r="S14" s="113"/>
      <c r="T14" s="113"/>
      <c r="U14" s="113"/>
      <c r="V14" s="113"/>
      <c r="W14" s="44"/>
    </row>
    <row r="15" spans="2:25" x14ac:dyDescent="0.2">
      <c r="B15" s="45" t="s">
        <v>60</v>
      </c>
      <c r="C15" s="60"/>
      <c r="D15" s="41"/>
      <c r="E15" s="41"/>
      <c r="F15" s="38"/>
      <c r="G15" s="41"/>
      <c r="H15" s="41"/>
      <c r="I15" s="41"/>
      <c r="J15" s="38"/>
      <c r="K15" s="41"/>
      <c r="L15" s="41"/>
      <c r="M15" s="41"/>
      <c r="N15" s="41"/>
      <c r="O15" s="41"/>
      <c r="P15" s="144"/>
      <c r="Q15" s="113" t="s">
        <v>80</v>
      </c>
      <c r="R15" s="113"/>
      <c r="S15" s="113"/>
      <c r="T15" s="113"/>
      <c r="U15" s="113"/>
      <c r="V15" s="113"/>
      <c r="W15" s="44"/>
    </row>
    <row r="16" spans="2:25" x14ac:dyDescent="0.2">
      <c r="B16" s="45" t="s">
        <v>59</v>
      </c>
      <c r="C16" s="60"/>
      <c r="D16" s="38"/>
      <c r="E16" s="41"/>
      <c r="F16" s="41"/>
      <c r="G16" s="38"/>
      <c r="H16" s="38"/>
      <c r="I16" s="38"/>
      <c r="J16" s="41"/>
      <c r="K16" s="41"/>
      <c r="L16" s="41"/>
      <c r="M16" s="41"/>
      <c r="N16" s="41"/>
      <c r="O16" s="41"/>
      <c r="P16" s="144"/>
      <c r="Q16" s="113" t="s">
        <v>81</v>
      </c>
      <c r="R16" s="113"/>
      <c r="S16" s="113"/>
      <c r="T16" s="113"/>
      <c r="U16" s="113"/>
      <c r="V16" s="113"/>
      <c r="W16" s="44"/>
    </row>
    <row r="17" spans="2:23" x14ac:dyDescent="0.2">
      <c r="B17" s="146"/>
      <c r="C17" s="147"/>
      <c r="D17" s="147"/>
      <c r="E17" s="147"/>
      <c r="F17" s="147"/>
      <c r="G17" s="147"/>
      <c r="H17" s="147"/>
      <c r="I17" s="147"/>
      <c r="J17" s="147"/>
      <c r="K17" s="147"/>
      <c r="L17" s="147"/>
      <c r="M17" s="147"/>
      <c r="N17" s="147"/>
      <c r="O17" s="148"/>
      <c r="P17" s="144"/>
      <c r="Q17" s="132" t="s">
        <v>100</v>
      </c>
      <c r="R17" s="133"/>
      <c r="S17" s="133"/>
      <c r="T17" s="133"/>
      <c r="U17" s="133"/>
      <c r="V17" s="134"/>
      <c r="W17" s="48"/>
    </row>
    <row r="18" spans="2:23" x14ac:dyDescent="0.2">
      <c r="B18" s="109" t="s">
        <v>104</v>
      </c>
      <c r="C18" s="110"/>
      <c r="D18" s="110"/>
      <c r="E18" s="110"/>
      <c r="F18" s="110"/>
      <c r="G18" s="110"/>
      <c r="H18" s="110"/>
      <c r="I18" s="110"/>
      <c r="J18" s="110"/>
      <c r="K18" s="110"/>
      <c r="L18" s="79"/>
      <c r="M18" s="80"/>
      <c r="N18" s="102"/>
      <c r="O18" s="103"/>
      <c r="P18" s="144"/>
      <c r="Q18" s="113" t="s">
        <v>82</v>
      </c>
      <c r="R18" s="113"/>
      <c r="S18" s="113"/>
      <c r="T18" s="113"/>
      <c r="U18" s="113"/>
      <c r="V18" s="113"/>
      <c r="W18" s="46"/>
    </row>
    <row r="19" spans="2:23" x14ac:dyDescent="0.2">
      <c r="B19" s="107" t="s">
        <v>107</v>
      </c>
      <c r="C19" s="108"/>
      <c r="D19" s="108"/>
      <c r="E19" s="108"/>
      <c r="F19" s="108"/>
      <c r="G19" s="108"/>
      <c r="H19" s="108"/>
      <c r="I19" s="108"/>
      <c r="J19" s="108"/>
      <c r="K19" s="108"/>
      <c r="L19" s="81"/>
      <c r="M19" s="82"/>
      <c r="N19" s="100"/>
      <c r="O19" s="101"/>
      <c r="P19" s="144"/>
      <c r="Q19" s="113" t="s">
        <v>62</v>
      </c>
      <c r="R19" s="113"/>
      <c r="S19" s="113"/>
      <c r="T19" s="113"/>
      <c r="U19" s="113"/>
      <c r="V19" s="113"/>
      <c r="W19" s="46"/>
    </row>
    <row r="20" spans="2:23" x14ac:dyDescent="0.2">
      <c r="B20" s="107" t="s">
        <v>106</v>
      </c>
      <c r="C20" s="108"/>
      <c r="D20" s="108"/>
      <c r="E20" s="108"/>
      <c r="F20" s="108"/>
      <c r="G20" s="108"/>
      <c r="H20" s="108"/>
      <c r="I20" s="108"/>
      <c r="J20" s="108"/>
      <c r="K20" s="108"/>
      <c r="L20" s="81"/>
      <c r="M20" s="82"/>
      <c r="N20" s="100"/>
      <c r="O20" s="101"/>
      <c r="P20" s="144"/>
      <c r="Q20" s="113" t="s">
        <v>83</v>
      </c>
      <c r="R20" s="113"/>
      <c r="S20" s="113"/>
      <c r="T20" s="113"/>
      <c r="U20" s="113"/>
      <c r="V20" s="113"/>
      <c r="W20" s="46"/>
    </row>
    <row r="21" spans="2:23" x14ac:dyDescent="0.2">
      <c r="B21" s="104"/>
      <c r="C21" s="105"/>
      <c r="D21" s="105"/>
      <c r="E21" s="105"/>
      <c r="F21" s="105"/>
      <c r="G21" s="105"/>
      <c r="H21" s="105"/>
      <c r="I21" s="105"/>
      <c r="J21" s="105"/>
      <c r="K21" s="105"/>
      <c r="L21" s="105"/>
      <c r="M21" s="105"/>
      <c r="N21" s="105"/>
      <c r="O21" s="106"/>
      <c r="P21" s="144"/>
      <c r="Q21" s="113" t="s">
        <v>84</v>
      </c>
      <c r="R21" s="113"/>
      <c r="S21" s="113"/>
      <c r="T21" s="113"/>
      <c r="U21" s="113"/>
      <c r="V21" s="113"/>
      <c r="W21" s="46"/>
    </row>
    <row r="22" spans="2:23" x14ac:dyDescent="0.2">
      <c r="B22" s="107" t="s">
        <v>101</v>
      </c>
      <c r="C22" s="108"/>
      <c r="D22" s="108"/>
      <c r="E22" s="108"/>
      <c r="F22" s="108"/>
      <c r="G22" s="108"/>
      <c r="H22" s="108"/>
      <c r="I22" s="108"/>
      <c r="J22" s="108"/>
      <c r="K22" s="108"/>
      <c r="L22" s="79"/>
      <c r="M22" s="80"/>
      <c r="N22" s="102"/>
      <c r="O22" s="103"/>
      <c r="P22" s="144"/>
      <c r="Q22" s="113" t="s">
        <v>85</v>
      </c>
      <c r="R22" s="113"/>
      <c r="S22" s="113"/>
      <c r="T22" s="113"/>
      <c r="U22" s="113"/>
      <c r="V22" s="113"/>
      <c r="W22" s="46"/>
    </row>
    <row r="23" spans="2:23" x14ac:dyDescent="0.2">
      <c r="B23" s="107" t="s">
        <v>102</v>
      </c>
      <c r="C23" s="108"/>
      <c r="D23" s="108"/>
      <c r="E23" s="108"/>
      <c r="F23" s="108"/>
      <c r="G23" s="108"/>
      <c r="H23" s="108"/>
      <c r="I23" s="108"/>
      <c r="J23" s="108"/>
      <c r="K23" s="108"/>
      <c r="L23" s="79"/>
      <c r="M23" s="80"/>
      <c r="N23" s="102"/>
      <c r="O23" s="103"/>
      <c r="P23" s="144"/>
      <c r="Q23" s="113" t="s">
        <v>86</v>
      </c>
      <c r="R23" s="113"/>
      <c r="S23" s="113"/>
      <c r="T23" s="113"/>
      <c r="U23" s="113"/>
      <c r="V23" s="113"/>
      <c r="W23" s="46"/>
    </row>
    <row r="24" spans="2:23" x14ac:dyDescent="0.2">
      <c r="B24" s="107" t="s">
        <v>103</v>
      </c>
      <c r="C24" s="108"/>
      <c r="D24" s="108"/>
      <c r="E24" s="108"/>
      <c r="F24" s="108"/>
      <c r="G24" s="108"/>
      <c r="H24" s="108"/>
      <c r="I24" s="108"/>
      <c r="J24" s="108"/>
      <c r="K24" s="108"/>
      <c r="L24" s="79"/>
      <c r="M24" s="80"/>
      <c r="N24" s="102"/>
      <c r="O24" s="103"/>
      <c r="P24" s="144"/>
      <c r="Q24" s="113" t="s">
        <v>87</v>
      </c>
      <c r="R24" s="113"/>
      <c r="S24" s="113"/>
      <c r="T24" s="113"/>
      <c r="U24" s="113"/>
      <c r="V24" s="113"/>
      <c r="W24" s="46"/>
    </row>
    <row r="25" spans="2:23" x14ac:dyDescent="0.2">
      <c r="B25" s="104"/>
      <c r="C25" s="105"/>
      <c r="D25" s="105"/>
      <c r="E25" s="105"/>
      <c r="F25" s="105"/>
      <c r="G25" s="105"/>
      <c r="H25" s="105"/>
      <c r="I25" s="105"/>
      <c r="J25" s="105"/>
      <c r="K25" s="105"/>
      <c r="L25" s="105"/>
      <c r="M25" s="105"/>
      <c r="N25" s="105"/>
      <c r="O25" s="106"/>
      <c r="P25" s="144"/>
      <c r="Q25" s="113" t="s">
        <v>88</v>
      </c>
      <c r="R25" s="113"/>
      <c r="S25" s="113"/>
      <c r="T25" s="113"/>
      <c r="U25" s="113"/>
      <c r="V25" s="113"/>
      <c r="W25" s="46"/>
    </row>
    <row r="26" spans="2:23" x14ac:dyDescent="0.2">
      <c r="B26" s="107" t="s">
        <v>108</v>
      </c>
      <c r="C26" s="108"/>
      <c r="D26" s="108"/>
      <c r="E26" s="108"/>
      <c r="F26" s="108"/>
      <c r="G26" s="108"/>
      <c r="H26" s="108"/>
      <c r="I26" s="108"/>
      <c r="J26" s="108"/>
      <c r="K26" s="108"/>
      <c r="L26" s="81"/>
      <c r="M26" s="82"/>
      <c r="N26" s="100"/>
      <c r="O26" s="101"/>
      <c r="P26" s="144"/>
      <c r="Q26" s="124" t="s">
        <v>115</v>
      </c>
      <c r="R26" s="125"/>
      <c r="S26" s="125"/>
      <c r="T26" s="125"/>
      <c r="U26" s="125"/>
      <c r="V26" s="125"/>
      <c r="W26" s="126"/>
    </row>
    <row r="27" spans="2:23" x14ac:dyDescent="0.2">
      <c r="B27" s="107" t="s">
        <v>109</v>
      </c>
      <c r="C27" s="108"/>
      <c r="D27" s="108"/>
      <c r="E27" s="108"/>
      <c r="F27" s="108"/>
      <c r="G27" s="108"/>
      <c r="H27" s="108"/>
      <c r="I27" s="108"/>
      <c r="J27" s="108"/>
      <c r="K27" s="108"/>
      <c r="L27" s="81"/>
      <c r="M27" s="82"/>
      <c r="N27" s="100"/>
      <c r="O27" s="101"/>
      <c r="P27" s="144"/>
      <c r="Q27" s="114" t="s">
        <v>193</v>
      </c>
      <c r="R27" s="115"/>
      <c r="S27" s="115"/>
      <c r="T27" s="115"/>
      <c r="U27" s="115"/>
      <c r="V27" s="115"/>
      <c r="W27" s="116"/>
    </row>
    <row r="28" spans="2:23" x14ac:dyDescent="0.2">
      <c r="B28" s="107" t="s">
        <v>110</v>
      </c>
      <c r="C28" s="108"/>
      <c r="D28" s="108"/>
      <c r="E28" s="108"/>
      <c r="F28" s="108"/>
      <c r="G28" s="108"/>
      <c r="H28" s="108"/>
      <c r="I28" s="108"/>
      <c r="J28" s="108"/>
      <c r="K28" s="108"/>
      <c r="L28" s="81"/>
      <c r="M28" s="82"/>
      <c r="N28" s="100"/>
      <c r="O28" s="101"/>
      <c r="P28" s="144"/>
      <c r="Q28" s="117"/>
      <c r="R28" s="115"/>
      <c r="S28" s="115"/>
      <c r="T28" s="115"/>
      <c r="U28" s="115"/>
      <c r="V28" s="115"/>
      <c r="W28" s="116"/>
    </row>
    <row r="29" spans="2:23" x14ac:dyDescent="0.2">
      <c r="B29" s="107" t="s">
        <v>114</v>
      </c>
      <c r="C29" s="108"/>
      <c r="D29" s="108"/>
      <c r="E29" s="108"/>
      <c r="F29" s="108"/>
      <c r="G29" s="108"/>
      <c r="H29" s="108"/>
      <c r="I29" s="108"/>
      <c r="J29" s="108"/>
      <c r="K29" s="108"/>
      <c r="L29" s="81"/>
      <c r="M29" s="82"/>
      <c r="N29" s="100"/>
      <c r="O29" s="101"/>
      <c r="P29" s="144"/>
      <c r="Q29" s="117"/>
      <c r="R29" s="115"/>
      <c r="S29" s="115"/>
      <c r="T29" s="115"/>
      <c r="U29" s="115"/>
      <c r="V29" s="115"/>
      <c r="W29" s="116"/>
    </row>
    <row r="30" spans="2:23" x14ac:dyDescent="0.2">
      <c r="B30" s="107" t="s">
        <v>113</v>
      </c>
      <c r="C30" s="108"/>
      <c r="D30" s="108"/>
      <c r="E30" s="108"/>
      <c r="F30" s="108"/>
      <c r="G30" s="108"/>
      <c r="H30" s="108"/>
      <c r="I30" s="108"/>
      <c r="J30" s="108"/>
      <c r="K30" s="108"/>
      <c r="L30" s="81"/>
      <c r="M30" s="82"/>
      <c r="N30" s="100"/>
      <c r="O30" s="101"/>
      <c r="P30" s="144"/>
      <c r="Q30" s="117"/>
      <c r="R30" s="115"/>
      <c r="S30" s="115"/>
      <c r="T30" s="115"/>
      <c r="U30" s="115"/>
      <c r="V30" s="115"/>
      <c r="W30" s="116"/>
    </row>
    <row r="31" spans="2:23" x14ac:dyDescent="0.2">
      <c r="B31" s="107" t="s">
        <v>111</v>
      </c>
      <c r="C31" s="108"/>
      <c r="D31" s="108"/>
      <c r="E31" s="108"/>
      <c r="F31" s="108"/>
      <c r="G31" s="108"/>
      <c r="H31" s="108"/>
      <c r="I31" s="108"/>
      <c r="J31" s="108"/>
      <c r="K31" s="108"/>
      <c r="L31" s="81"/>
      <c r="M31" s="82"/>
      <c r="N31" s="100"/>
      <c r="O31" s="101"/>
      <c r="P31" s="144"/>
      <c r="Q31" s="117"/>
      <c r="R31" s="115"/>
      <c r="S31" s="115"/>
      <c r="T31" s="115"/>
      <c r="U31" s="115"/>
      <c r="V31" s="115"/>
      <c r="W31" s="116"/>
    </row>
    <row r="32" spans="2:23" ht="16" thickBot="1" x14ac:dyDescent="0.25">
      <c r="B32" s="111" t="s">
        <v>112</v>
      </c>
      <c r="C32" s="112"/>
      <c r="D32" s="112"/>
      <c r="E32" s="112"/>
      <c r="F32" s="112"/>
      <c r="G32" s="112"/>
      <c r="H32" s="112"/>
      <c r="I32" s="112"/>
      <c r="J32" s="112"/>
      <c r="K32" s="112"/>
      <c r="L32" s="83"/>
      <c r="M32" s="84"/>
      <c r="N32" s="149"/>
      <c r="O32" s="150"/>
      <c r="P32" s="145"/>
      <c r="Q32" s="118"/>
      <c r="R32" s="119"/>
      <c r="S32" s="119"/>
      <c r="T32" s="119"/>
      <c r="U32" s="119"/>
      <c r="V32" s="119"/>
      <c r="W32" s="120"/>
    </row>
  </sheetData>
  <mergeCells count="65">
    <mergeCell ref="H2:P2"/>
    <mergeCell ref="H3:P3"/>
    <mergeCell ref="C2:G2"/>
    <mergeCell ref="C3:G3"/>
    <mergeCell ref="P6:P32"/>
    <mergeCell ref="B17:O17"/>
    <mergeCell ref="B23:K23"/>
    <mergeCell ref="B27:K27"/>
    <mergeCell ref="B26:K26"/>
    <mergeCell ref="N32:O32"/>
    <mergeCell ref="N31:O31"/>
    <mergeCell ref="N30:O30"/>
    <mergeCell ref="N29:O29"/>
    <mergeCell ref="B14:C14"/>
    <mergeCell ref="B6:C6"/>
    <mergeCell ref="B9:C9"/>
    <mergeCell ref="Q23:V23"/>
    <mergeCell ref="Q14:V14"/>
    <mergeCell ref="Q15:V15"/>
    <mergeCell ref="Q7:W7"/>
    <mergeCell ref="Q8:V8"/>
    <mergeCell ref="Q9:V9"/>
    <mergeCell ref="Q17:V17"/>
    <mergeCell ref="B11:C11"/>
    <mergeCell ref="B12:C12"/>
    <mergeCell ref="B13:C13"/>
    <mergeCell ref="B7:C7"/>
    <mergeCell ref="B8:C8"/>
    <mergeCell ref="Q24:V24"/>
    <mergeCell ref="Q25:V25"/>
    <mergeCell ref="Q27:W32"/>
    <mergeCell ref="B5:W5"/>
    <mergeCell ref="Q26:W26"/>
    <mergeCell ref="Q16:V16"/>
    <mergeCell ref="Q18:V18"/>
    <mergeCell ref="Q19:V19"/>
    <mergeCell ref="Q20:V20"/>
    <mergeCell ref="Q21:V21"/>
    <mergeCell ref="Q22:V22"/>
    <mergeCell ref="Q10:V10"/>
    <mergeCell ref="Q11:V11"/>
    <mergeCell ref="Q12:V12"/>
    <mergeCell ref="Q13:V13"/>
    <mergeCell ref="B10:C10"/>
    <mergeCell ref="B30:K30"/>
    <mergeCell ref="B29:K29"/>
    <mergeCell ref="B28:K28"/>
    <mergeCell ref="B32:K32"/>
    <mergeCell ref="B31:K31"/>
    <mergeCell ref="N28:O28"/>
    <mergeCell ref="N20:O20"/>
    <mergeCell ref="N19:O19"/>
    <mergeCell ref="N18:O18"/>
    <mergeCell ref="B21:O21"/>
    <mergeCell ref="B25:O25"/>
    <mergeCell ref="N24:O24"/>
    <mergeCell ref="N23:O23"/>
    <mergeCell ref="N22:O22"/>
    <mergeCell ref="N27:O27"/>
    <mergeCell ref="N26:O26"/>
    <mergeCell ref="B19:K19"/>
    <mergeCell ref="B18:K18"/>
    <mergeCell ref="B20:K20"/>
    <mergeCell ref="B22:K22"/>
    <mergeCell ref="B24:K24"/>
  </mergeCells>
  <pageMargins left="0.7" right="0.7" top="0.75" bottom="0.75" header="0.3" footer="0.3"/>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9"/>
  <sheetViews>
    <sheetView tabSelected="1" zoomScale="86" zoomScaleNormal="86" workbookViewId="0">
      <selection activeCell="L12" sqref="L12"/>
    </sheetView>
  </sheetViews>
  <sheetFormatPr baseColWidth="10" defaultColWidth="8.83203125" defaultRowHeight="15" x14ac:dyDescent="0.2"/>
  <cols>
    <col min="1" max="1" width="1.5" customWidth="1"/>
    <col min="2" max="2" width="12.1640625" style="1" customWidth="1"/>
    <col min="3" max="3" width="17.6640625" customWidth="1"/>
    <col min="4" max="4" width="91.1640625" customWidth="1"/>
    <col min="5" max="5" width="2.1640625" customWidth="1"/>
    <col min="6" max="6" width="9.1640625" hidden="1" customWidth="1"/>
    <col min="7" max="7" width="6.6640625" bestFit="1" customWidth="1"/>
  </cols>
  <sheetData>
    <row r="1" spans="2:6" ht="9" customHeight="1" thickBot="1" x14ac:dyDescent="0.25"/>
    <row r="2" spans="2:6" x14ac:dyDescent="0.2">
      <c r="B2" s="56" t="s">
        <v>120</v>
      </c>
      <c r="C2" s="57" t="s">
        <v>121</v>
      </c>
      <c r="D2" s="58" t="s">
        <v>122</v>
      </c>
      <c r="F2" t="s">
        <v>129</v>
      </c>
    </row>
    <row r="3" spans="2:6" x14ac:dyDescent="0.2">
      <c r="B3" s="76"/>
      <c r="C3" s="75"/>
      <c r="D3" s="59" t="s">
        <v>123</v>
      </c>
      <c r="F3" t="s">
        <v>130</v>
      </c>
    </row>
    <row r="4" spans="2:6" ht="28" x14ac:dyDescent="0.2">
      <c r="B4" s="76"/>
      <c r="C4" s="75"/>
      <c r="D4" s="59" t="s">
        <v>124</v>
      </c>
      <c r="F4" t="s">
        <v>149</v>
      </c>
    </row>
    <row r="5" spans="2:6" ht="56" x14ac:dyDescent="0.2">
      <c r="B5" s="76"/>
      <c r="C5" s="75"/>
      <c r="D5" s="59" t="s">
        <v>125</v>
      </c>
    </row>
    <row r="6" spans="2:6" ht="28" x14ac:dyDescent="0.2">
      <c r="B6" s="76"/>
      <c r="C6" s="75"/>
      <c r="D6" s="59" t="s">
        <v>150</v>
      </c>
    </row>
    <row r="7" spans="2:6" ht="28" x14ac:dyDescent="0.2">
      <c r="B7" s="76"/>
      <c r="C7" s="75"/>
      <c r="D7" s="59" t="s">
        <v>151</v>
      </c>
    </row>
    <row r="8" spans="2:6" ht="28" x14ac:dyDescent="0.2">
      <c r="B8" s="76"/>
      <c r="C8" s="75"/>
      <c r="D8" s="59" t="s">
        <v>126</v>
      </c>
    </row>
    <row r="9" spans="2:6" x14ac:dyDescent="0.2">
      <c r="B9" s="76"/>
      <c r="C9" s="75"/>
      <c r="D9" s="59" t="s">
        <v>152</v>
      </c>
    </row>
    <row r="10" spans="2:6" ht="28" x14ac:dyDescent="0.2">
      <c r="B10" s="76"/>
      <c r="C10" s="75"/>
      <c r="D10" s="59" t="s">
        <v>153</v>
      </c>
    </row>
    <row r="11" spans="2:6" ht="28" x14ac:dyDescent="0.2">
      <c r="B11" s="76"/>
      <c r="C11" s="75"/>
      <c r="D11" s="59" t="s">
        <v>127</v>
      </c>
    </row>
    <row r="12" spans="2:6" ht="98" x14ac:dyDescent="0.2">
      <c r="B12" s="76"/>
      <c r="C12" s="75"/>
      <c r="D12" s="59" t="s">
        <v>154</v>
      </c>
    </row>
    <row r="13" spans="2:6" ht="84" x14ac:dyDescent="0.2">
      <c r="B13" s="76"/>
      <c r="C13" s="75"/>
      <c r="D13" s="59" t="s">
        <v>155</v>
      </c>
    </row>
    <row r="14" spans="2:6" ht="98" x14ac:dyDescent="0.2">
      <c r="B14" s="76"/>
      <c r="C14" s="75"/>
      <c r="D14" s="59" t="s">
        <v>156</v>
      </c>
    </row>
    <row r="15" spans="2:6" ht="28" x14ac:dyDescent="0.2">
      <c r="B15" s="76"/>
      <c r="C15" s="75"/>
      <c r="D15" s="59" t="s">
        <v>157</v>
      </c>
    </row>
    <row r="16" spans="2:6" ht="140" x14ac:dyDescent="0.2">
      <c r="B16" s="76"/>
      <c r="C16" s="4"/>
      <c r="D16" s="59" t="s">
        <v>158</v>
      </c>
    </row>
    <row r="17" spans="2:4" ht="98" x14ac:dyDescent="0.2">
      <c r="B17" s="76"/>
      <c r="C17" s="4"/>
      <c r="D17" s="59" t="s">
        <v>159</v>
      </c>
    </row>
    <row r="18" spans="2:4" ht="84" x14ac:dyDescent="0.2">
      <c r="B18" s="76"/>
      <c r="C18" s="75"/>
      <c r="D18" s="59" t="s">
        <v>160</v>
      </c>
    </row>
    <row r="19" spans="2:4" ht="84" x14ac:dyDescent="0.2">
      <c r="B19" s="76"/>
      <c r="C19" s="75"/>
      <c r="D19" s="59" t="s">
        <v>161</v>
      </c>
    </row>
    <row r="20" spans="2:4" ht="56" x14ac:dyDescent="0.2">
      <c r="B20" s="76"/>
      <c r="C20" s="75"/>
      <c r="D20" s="59" t="s">
        <v>162</v>
      </c>
    </row>
    <row r="21" spans="2:4" ht="28" x14ac:dyDescent="0.2">
      <c r="B21" s="76"/>
      <c r="C21" s="75"/>
      <c r="D21" s="59" t="s">
        <v>163</v>
      </c>
    </row>
    <row r="22" spans="2:4" ht="28" x14ac:dyDescent="0.2">
      <c r="B22" s="76"/>
      <c r="C22" s="75"/>
      <c r="D22" s="59" t="s">
        <v>164</v>
      </c>
    </row>
    <row r="23" spans="2:4" ht="70" x14ac:dyDescent="0.2">
      <c r="B23" s="76"/>
      <c r="C23" s="75"/>
      <c r="D23" s="59" t="s">
        <v>165</v>
      </c>
    </row>
    <row r="24" spans="2:4" ht="98" x14ac:dyDescent="0.2">
      <c r="B24" s="76"/>
      <c r="C24" s="75"/>
      <c r="D24" s="59" t="s">
        <v>166</v>
      </c>
    </row>
    <row r="25" spans="2:4" ht="56" x14ac:dyDescent="0.2">
      <c r="B25" s="76"/>
      <c r="C25" s="75"/>
      <c r="D25" s="59" t="s">
        <v>167</v>
      </c>
    </row>
    <row r="26" spans="2:4" ht="56" x14ac:dyDescent="0.2">
      <c r="B26" s="76"/>
      <c r="C26" s="75"/>
      <c r="D26" s="59" t="s">
        <v>168</v>
      </c>
    </row>
    <row r="27" spans="2:4" ht="84" x14ac:dyDescent="0.2">
      <c r="B27" s="76"/>
      <c r="C27" s="75"/>
      <c r="D27" s="59" t="s">
        <v>169</v>
      </c>
    </row>
    <row r="28" spans="2:4" ht="112" x14ac:dyDescent="0.2">
      <c r="B28" s="76"/>
      <c r="C28" s="75"/>
      <c r="D28" s="59" t="s">
        <v>170</v>
      </c>
    </row>
    <row r="29" spans="2:4" ht="168" x14ac:dyDescent="0.2">
      <c r="B29" s="76"/>
      <c r="C29" s="75"/>
      <c r="D29" s="59" t="s">
        <v>171</v>
      </c>
    </row>
    <row r="30" spans="2:4" ht="84" x14ac:dyDescent="0.2">
      <c r="B30" s="90"/>
      <c r="C30" s="91"/>
      <c r="D30" s="59" t="s">
        <v>172</v>
      </c>
    </row>
    <row r="31" spans="2:4" ht="126" x14ac:dyDescent="0.2">
      <c r="B31" s="76"/>
      <c r="C31" s="75"/>
      <c r="D31" s="59" t="s">
        <v>174</v>
      </c>
    </row>
    <row r="32" spans="2:4" ht="224" x14ac:dyDescent="0.2">
      <c r="B32" s="76"/>
      <c r="C32" s="75"/>
      <c r="D32" s="59" t="s">
        <v>173</v>
      </c>
    </row>
    <row r="33" spans="2:4" ht="70" x14ac:dyDescent="0.2">
      <c r="B33" s="76"/>
      <c r="C33" s="75"/>
      <c r="D33" s="59" t="s">
        <v>175</v>
      </c>
    </row>
    <row r="34" spans="2:4" ht="56" x14ac:dyDescent="0.2">
      <c r="B34" s="76"/>
      <c r="C34" s="75"/>
      <c r="D34" s="59" t="s">
        <v>176</v>
      </c>
    </row>
    <row r="35" spans="2:4" ht="56" x14ac:dyDescent="0.2">
      <c r="B35" s="76"/>
      <c r="C35" s="75"/>
      <c r="D35" s="59" t="s">
        <v>177</v>
      </c>
    </row>
    <row r="36" spans="2:4" ht="98" x14ac:dyDescent="0.2">
      <c r="B36" s="76"/>
      <c r="C36" s="75"/>
      <c r="D36" s="59" t="s">
        <v>178</v>
      </c>
    </row>
    <row r="37" spans="2:4" ht="42" x14ac:dyDescent="0.2">
      <c r="B37" s="76"/>
      <c r="C37" s="75"/>
      <c r="D37" s="59" t="s">
        <v>179</v>
      </c>
    </row>
    <row r="38" spans="2:4" ht="70" x14ac:dyDescent="0.2">
      <c r="B38" s="76"/>
      <c r="C38" s="75"/>
      <c r="D38" s="59" t="s">
        <v>180</v>
      </c>
    </row>
    <row r="39" spans="2:4" ht="56" x14ac:dyDescent="0.2">
      <c r="B39" s="76"/>
      <c r="C39" s="75"/>
      <c r="D39" s="59" t="s">
        <v>181</v>
      </c>
    </row>
    <row r="40" spans="2:4" ht="154" x14ac:dyDescent="0.2">
      <c r="B40" s="76"/>
      <c r="C40" s="75"/>
      <c r="D40" s="59" t="s">
        <v>182</v>
      </c>
    </row>
    <row r="41" spans="2:4" ht="42" x14ac:dyDescent="0.2">
      <c r="B41" s="76"/>
      <c r="C41" s="75"/>
      <c r="D41" s="59" t="s">
        <v>183</v>
      </c>
    </row>
    <row r="42" spans="2:4" ht="42" x14ac:dyDescent="0.2">
      <c r="B42" s="76"/>
      <c r="C42" s="75"/>
      <c r="D42" s="59" t="s">
        <v>184</v>
      </c>
    </row>
    <row r="43" spans="2:4" ht="56" x14ac:dyDescent="0.2">
      <c r="B43" s="76"/>
      <c r="C43" s="75"/>
      <c r="D43" s="59" t="s">
        <v>185</v>
      </c>
    </row>
    <row r="44" spans="2:4" ht="70" x14ac:dyDescent="0.2">
      <c r="B44" s="76"/>
      <c r="C44" s="75"/>
      <c r="D44" s="59" t="s">
        <v>186</v>
      </c>
    </row>
    <row r="45" spans="2:4" ht="70" x14ac:dyDescent="0.2">
      <c r="B45" s="76"/>
      <c r="C45" s="75"/>
      <c r="D45" s="59" t="s">
        <v>187</v>
      </c>
    </row>
    <row r="46" spans="2:4" ht="28" x14ac:dyDescent="0.2">
      <c r="B46" s="76"/>
      <c r="C46" s="75"/>
      <c r="D46" s="59" t="s">
        <v>188</v>
      </c>
    </row>
    <row r="47" spans="2:4" ht="28" x14ac:dyDescent="0.2">
      <c r="B47" s="76"/>
      <c r="C47" s="75"/>
      <c r="D47" s="59" t="s">
        <v>189</v>
      </c>
    </row>
    <row r="48" spans="2:4" x14ac:dyDescent="0.2">
      <c r="B48" s="76"/>
      <c r="C48" s="75"/>
      <c r="D48" s="59" t="s">
        <v>128</v>
      </c>
    </row>
    <row r="49" spans="2:4" ht="71" thickBot="1" x14ac:dyDescent="0.25">
      <c r="B49" s="88"/>
      <c r="C49" s="77"/>
      <c r="D49" s="78" t="s">
        <v>190</v>
      </c>
    </row>
  </sheetData>
  <autoFilter ref="B2:D49" xr:uid="{00000000-0009-0000-0000-000003000000}"/>
  <dataValidations count="1">
    <dataValidation type="list" allowBlank="1" showInputMessage="1" showErrorMessage="1" sqref="B3:B49" xr:uid="{00000000-0002-0000-0300-000000000000}">
      <formula1>PassFail</formula1>
    </dataValidation>
  </dataValidations>
  <pageMargins left="0.7" right="0.7" top="0.75" bottom="0.75" header="0.3" footer="0.3"/>
  <pageSetup scale="76" orientation="portrait" r:id="rId1"/>
  <headerFooter>
    <oddHeader>&amp;C&amp;"-,Italic"&lt;vendor&gt; &lt;product name&gt;</oddHeader>
    <oddFooter>&amp;L&amp;"-,Italic"UL Verification Services NPIVP Card Command Test Report&amp;R&amp;"-,Italic"VE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workbookViewId="0">
      <selection activeCell="B18" sqref="B18"/>
    </sheetView>
  </sheetViews>
  <sheetFormatPr baseColWidth="10" defaultColWidth="8.83203125" defaultRowHeight="15" x14ac:dyDescent="0.2"/>
  <cols>
    <col min="1" max="1" width="9.1640625" style="1"/>
    <col min="2" max="2" width="45.5" bestFit="1" customWidth="1"/>
    <col min="3" max="3" width="2.5" customWidth="1"/>
    <col min="4" max="4" width="3" bestFit="1" customWidth="1"/>
    <col min="5" max="6" width="3.33203125" bestFit="1" customWidth="1"/>
    <col min="7" max="7" width="3.1640625" bestFit="1" customWidth="1"/>
    <col min="8" max="8" width="3.33203125" bestFit="1" customWidth="1"/>
    <col min="9" max="9" width="5" bestFit="1" customWidth="1"/>
    <col min="10" max="10" width="9.5" bestFit="1" customWidth="1"/>
    <col min="11" max="11" width="8.5" bestFit="1" customWidth="1"/>
    <col min="14" max="14" width="22.1640625" bestFit="1" customWidth="1"/>
    <col min="15" max="15" width="9" bestFit="1" customWidth="1"/>
  </cols>
  <sheetData>
    <row r="1" spans="1:11" x14ac:dyDescent="0.2">
      <c r="D1" s="153" t="s">
        <v>37</v>
      </c>
      <c r="E1" s="153"/>
      <c r="F1" s="153"/>
      <c r="G1" s="153"/>
      <c r="H1" s="153"/>
      <c r="I1" s="153"/>
      <c r="J1" s="153"/>
      <c r="K1" s="153"/>
    </row>
    <row r="2" spans="1:11" x14ac:dyDescent="0.2">
      <c r="A2" s="5" t="s">
        <v>11</v>
      </c>
      <c r="B2" s="5" t="s">
        <v>31</v>
      </c>
      <c r="D2" s="6" t="s">
        <v>9</v>
      </c>
      <c r="E2" s="7" t="s">
        <v>5</v>
      </c>
      <c r="F2" s="7" t="s">
        <v>4</v>
      </c>
      <c r="G2" s="7" t="s">
        <v>6</v>
      </c>
      <c r="H2" s="7" t="s">
        <v>7</v>
      </c>
      <c r="I2" s="7" t="s">
        <v>36</v>
      </c>
      <c r="J2" s="7" t="s">
        <v>12</v>
      </c>
      <c r="K2" s="7" t="s">
        <v>13</v>
      </c>
    </row>
    <row r="3" spans="1:11" ht="16" x14ac:dyDescent="0.2">
      <c r="A3" s="3" t="s">
        <v>14</v>
      </c>
      <c r="B3" s="4" t="s">
        <v>25</v>
      </c>
      <c r="D3" s="2" t="str">
        <f>A12</f>
        <v>27</v>
      </c>
      <c r="E3" s="2" t="str">
        <f>RSA</f>
        <v>07</v>
      </c>
      <c r="F3" s="2" t="str">
        <f>A3</f>
        <v>00</v>
      </c>
      <c r="G3" s="2" t="str">
        <f>RSA</f>
        <v>07</v>
      </c>
      <c r="H3" s="2" t="str">
        <f>RSA</f>
        <v>07</v>
      </c>
      <c r="I3" s="2" t="str">
        <f>A5</f>
        <v>06</v>
      </c>
      <c r="J3" s="2" t="str">
        <f>RSA</f>
        <v>07</v>
      </c>
      <c r="K3" s="2" t="str">
        <f>A3</f>
        <v>00</v>
      </c>
    </row>
    <row r="4" spans="1:11" ht="16" x14ac:dyDescent="0.2">
      <c r="A4" s="3" t="s">
        <v>15</v>
      </c>
      <c r="B4" s="4" t="s">
        <v>25</v>
      </c>
      <c r="D4" s="2" t="str">
        <f>A13</f>
        <v>2E</v>
      </c>
      <c r="E4" s="2" t="str">
        <f>A10</f>
        <v>11</v>
      </c>
      <c r="F4" s="2" t="str">
        <f>A4</f>
        <v>03</v>
      </c>
      <c r="G4" s="2" t="str">
        <f>A10</f>
        <v>11</v>
      </c>
      <c r="H4" s="2" t="str">
        <f>A10</f>
        <v>11</v>
      </c>
      <c r="I4" s="2" t="str">
        <f>RSA</f>
        <v>07</v>
      </c>
      <c r="J4" s="2" t="str">
        <f>A10</f>
        <v>11</v>
      </c>
      <c r="K4" s="2" t="str">
        <f>A4</f>
        <v>03</v>
      </c>
    </row>
    <row r="5" spans="1:11" ht="18" x14ac:dyDescent="0.2">
      <c r="A5" s="3" t="s">
        <v>16</v>
      </c>
      <c r="B5" s="4" t="s">
        <v>26</v>
      </c>
      <c r="D5" s="2"/>
      <c r="E5" s="2"/>
      <c r="F5" s="2" t="str">
        <f>A7</f>
        <v>08</v>
      </c>
      <c r="G5" s="2" t="str">
        <f>A11</f>
        <v>14</v>
      </c>
      <c r="H5" s="2" t="str">
        <f>A11</f>
        <v>14</v>
      </c>
      <c r="I5" s="2" t="str">
        <f>A10</f>
        <v>11</v>
      </c>
      <c r="J5" s="2"/>
      <c r="K5" s="2" t="str">
        <f>A7</f>
        <v>08</v>
      </c>
    </row>
    <row r="6" spans="1:11" ht="18" x14ac:dyDescent="0.2">
      <c r="A6" s="3" t="s">
        <v>18</v>
      </c>
      <c r="B6" s="4" t="s">
        <v>27</v>
      </c>
      <c r="D6" s="2"/>
      <c r="E6" s="2"/>
      <c r="F6" s="2" t="str">
        <f>A8</f>
        <v>0A</v>
      </c>
      <c r="G6" s="2"/>
      <c r="H6" s="2"/>
      <c r="I6" s="2" t="str">
        <f>A11</f>
        <v>14</v>
      </c>
      <c r="J6" s="2"/>
      <c r="K6" s="2" t="str">
        <f>A8</f>
        <v>0A</v>
      </c>
    </row>
    <row r="7" spans="1:11" ht="16" x14ac:dyDescent="0.2">
      <c r="A7" s="3" t="s">
        <v>19</v>
      </c>
      <c r="B7" s="4" t="s">
        <v>28</v>
      </c>
      <c r="D7" s="2"/>
      <c r="E7" s="2"/>
      <c r="F7" s="2" t="str">
        <f>A9</f>
        <v>0C</v>
      </c>
      <c r="G7" s="2"/>
      <c r="H7" s="2"/>
      <c r="I7" s="2"/>
      <c r="J7" s="2"/>
      <c r="K7" s="2" t="str">
        <f>A9</f>
        <v>0C</v>
      </c>
    </row>
    <row r="8" spans="1:11" ht="16" x14ac:dyDescent="0.2">
      <c r="A8" s="3" t="s">
        <v>17</v>
      </c>
      <c r="B8" s="4" t="s">
        <v>29</v>
      </c>
      <c r="D8" s="2"/>
      <c r="E8" s="2"/>
      <c r="F8" s="2" t="s">
        <v>70</v>
      </c>
      <c r="G8" s="2"/>
      <c r="H8" s="2"/>
      <c r="I8" s="2"/>
      <c r="J8" s="2"/>
      <c r="K8" s="2"/>
    </row>
    <row r="9" spans="1:11" ht="16" x14ac:dyDescent="0.2">
      <c r="A9" s="3" t="s">
        <v>20</v>
      </c>
      <c r="B9" s="4" t="s">
        <v>30</v>
      </c>
    </row>
    <row r="10" spans="1:11" ht="16" x14ac:dyDescent="0.2">
      <c r="A10" s="3" t="s">
        <v>21</v>
      </c>
      <c r="B10" s="4" t="s">
        <v>32</v>
      </c>
      <c r="J10" t="s">
        <v>73</v>
      </c>
    </row>
    <row r="11" spans="1:11" ht="16" x14ac:dyDescent="0.2">
      <c r="A11" s="3" t="s">
        <v>22</v>
      </c>
      <c r="B11" s="4" t="s">
        <v>33</v>
      </c>
      <c r="J11" t="s">
        <v>2</v>
      </c>
    </row>
    <row r="12" spans="1:11" ht="16" x14ac:dyDescent="0.2">
      <c r="A12" s="3" t="s">
        <v>23</v>
      </c>
      <c r="B12" s="4" t="s">
        <v>34</v>
      </c>
      <c r="J12" t="s">
        <v>1</v>
      </c>
    </row>
    <row r="13" spans="1:11" ht="16" x14ac:dyDescent="0.2">
      <c r="A13" s="3" t="s">
        <v>24</v>
      </c>
      <c r="B13" s="4" t="s">
        <v>35</v>
      </c>
    </row>
    <row r="17" spans="1:10" x14ac:dyDescent="0.2">
      <c r="A17" s="1" t="s">
        <v>0</v>
      </c>
      <c r="J17" t="s">
        <v>129</v>
      </c>
    </row>
    <row r="18" spans="1:10" x14ac:dyDescent="0.2">
      <c r="A18" s="1" t="s">
        <v>3</v>
      </c>
      <c r="J18" t="s">
        <v>130</v>
      </c>
    </row>
    <row r="19" spans="1:10" x14ac:dyDescent="0.2">
      <c r="J19" t="s">
        <v>149</v>
      </c>
    </row>
  </sheetData>
  <mergeCells count="1">
    <mergeCell ref="D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Card Configurations</vt:lpstr>
      <vt:lpstr>Listing Summary</vt:lpstr>
      <vt:lpstr>VE Requirements</vt:lpstr>
      <vt:lpstr>References</vt:lpstr>
      <vt:lpstr>AES</vt:lpstr>
      <vt:lpstr>AlgIDs</vt:lpstr>
      <vt:lpstr>CryptoSuite</vt:lpstr>
      <vt:lpstr>ECC</vt:lpstr>
      <vt:lpstr>Key04DVList</vt:lpstr>
      <vt:lpstr>Key9ADVList</vt:lpstr>
      <vt:lpstr>Key9BDVList</vt:lpstr>
      <vt:lpstr>Key9CDVList</vt:lpstr>
      <vt:lpstr>Key9DDVList</vt:lpstr>
      <vt:lpstr>Key9EADVList</vt:lpstr>
      <vt:lpstr>Key9ESDVList</vt:lpstr>
      <vt:lpstr>KeyRKMDVList</vt:lpstr>
      <vt:lpstr>'Listing Summary'!MaxRetiredKMK</vt:lpstr>
      <vt:lpstr>MaxRetiredKMK</vt:lpstr>
      <vt:lpstr>'Listing Summary'!MinRetiredKMK</vt:lpstr>
      <vt:lpstr>MinRetiredKMK</vt:lpstr>
      <vt:lpstr>notTested</vt:lpstr>
      <vt:lpstr>OpacityCS</vt:lpstr>
      <vt:lpstr>PassFail</vt:lpstr>
      <vt:lpstr>PINUP1</vt:lpstr>
      <vt:lpstr>PINUP2</vt:lpstr>
      <vt:lpstr>PINUP3</vt:lpstr>
      <vt:lpstr>PINUP4</vt:lpstr>
      <vt:lpstr>'Card Configurations'!Print_Area</vt:lpstr>
      <vt:lpstr>'Listing Summary'!Print_Area</vt:lpstr>
      <vt:lpstr>'VE Requirements'!Print_Area</vt:lpstr>
      <vt:lpstr>PrintedInfo1</vt:lpstr>
      <vt:lpstr>ProductName</vt:lpstr>
      <vt:lpstr>RSA</vt:lpstr>
      <vt:lpstr>TDEA</vt:lpstr>
      <vt:lpstr>Tested</vt:lpstr>
      <vt:lpstr>VendorName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Weymann</dc:creator>
  <cp:lastModifiedBy>Andreas Fabis</cp:lastModifiedBy>
  <cp:lastPrinted>2020-10-15T14:38:40Z</cp:lastPrinted>
  <dcterms:created xsi:type="dcterms:W3CDTF">2017-03-09T19:49:32Z</dcterms:created>
  <dcterms:modified xsi:type="dcterms:W3CDTF">2023-11-20T16:17:22Z</dcterms:modified>
</cp:coreProperties>
</file>